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9320" windowHeight="12120" tabRatio="725" activeTab="4"/>
  </bookViews>
  <sheets>
    <sheet name="WPF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rzedsięwzięcia  - majątkowe" sheetId="5" r:id="rId5"/>
    <sheet name="Przedsięwzięcia - Poręczenia" sheetId="6" state="hidden" r:id="rId6"/>
    <sheet name="Harmonogram" sheetId="20" state="hidden" r:id="rId7"/>
    <sheet name="HSZ do groszy" sheetId="7" state="hidden" r:id="rId8"/>
    <sheet name="HSZ do złotówek" sheetId="8" state="hidden" r:id="rId9"/>
    <sheet name="obligacje 2013" sheetId="9" state="hidden" r:id="rId10"/>
    <sheet name="obligacje 2014" sheetId="10" state="hidden" r:id="rId11"/>
    <sheet name="obligacje 2015" sheetId="11" state="hidden" r:id="rId12"/>
    <sheet name="obligacje 2016" sheetId="12" state="hidden" r:id="rId13"/>
    <sheet name="obligacje 2017" sheetId="13" state="hidden" r:id="rId14"/>
    <sheet name="obligacje 2018" sheetId="14" state="hidden" r:id="rId15"/>
    <sheet name="obligacje 2019" sheetId="15" state="hidden" r:id="rId16"/>
    <sheet name="obligacje 2020" sheetId="16" state="hidden" r:id="rId17"/>
    <sheet name="obligacje 2021" sheetId="17" state="hidden" r:id="rId18"/>
    <sheet name="obligacje 2022" sheetId="18" state="hidden" r:id="rId19"/>
    <sheet name="obligacje 2023" sheetId="19" state="hidden" r:id="rId20"/>
    <sheet name="pożyczka 2013" sheetId="21" state="hidden" r:id="rId21"/>
    <sheet name="pożyczka 2014" sheetId="22" state="hidden" r:id="rId22"/>
    <sheet name="pożyczka 2015" sheetId="23" state="hidden" r:id="rId23"/>
    <sheet name="Arkusz1" sheetId="24" r:id="rId24"/>
  </sheets>
  <externalReferences>
    <externalReference r:id="rId25"/>
  </externalReferences>
  <definedNames>
    <definedName name="_xlnm.Print_Area" localSheetId="6">Harmonogram!$B$1:$AB$33</definedName>
    <definedName name="_xlnm.Print_Area" localSheetId="7">'HSZ do groszy'!$A$2:$AH$60,'HSZ do groszy'!$AK$2:$BY$60</definedName>
    <definedName name="_xlnm.Print_Area" localSheetId="8">'HSZ do złotówek'!$A$3:$BY$63</definedName>
    <definedName name="_xlnm.Print_Area" localSheetId="9">'obligacje 2013'!$A$1:$W$172</definedName>
    <definedName name="_xlnm.Print_Area" localSheetId="10">'obligacje 2014'!$A$1:$W$172</definedName>
    <definedName name="_xlnm.Print_Area" localSheetId="11">'obligacje 2015'!$A$1:$W$172</definedName>
    <definedName name="_xlnm.Print_Area" localSheetId="12">'obligacje 2016'!$A$1:$W$172</definedName>
    <definedName name="_xlnm.Print_Area" localSheetId="13">'obligacje 2017'!$A$1:$W$172</definedName>
    <definedName name="_xlnm.Print_Area" localSheetId="14">'obligacje 2018'!$A$1:$W$172</definedName>
    <definedName name="_xlnm.Print_Area" localSheetId="15">'obligacje 2019'!$A$1:$W$172</definedName>
    <definedName name="_xlnm.Print_Area" localSheetId="16">'obligacje 2020'!$A$1:$W$172</definedName>
    <definedName name="_xlnm.Print_Area" localSheetId="17">'obligacje 2021'!$A$1:$W$172</definedName>
    <definedName name="_xlnm.Print_Area" localSheetId="18">'obligacje 2022'!$A$1:$W$172</definedName>
    <definedName name="_xlnm.Print_Area" localSheetId="19">'obligacje 2023'!$A$1:$W$172</definedName>
    <definedName name="_xlnm.Print_Area" localSheetId="2">'Planowane spłaty zobowiązań'!$A$1:$S$58</definedName>
    <definedName name="_xlnm.Print_Area" localSheetId="20">'pożyczka 2013'!$A$1:$W$172</definedName>
    <definedName name="_xlnm.Print_Area" localSheetId="21">'pożyczka 2014'!$A$1:$W$172</definedName>
    <definedName name="_xlnm.Print_Area" localSheetId="22">'pożyczka 2015'!$A$1:$W$172</definedName>
    <definedName name="_xlnm.Print_Area" localSheetId="1">'Prognozowana kwota długu'!$A$1:$S$43</definedName>
    <definedName name="_xlnm.Print_Area" localSheetId="4">'Przedsięwzięcia  - majątkowe'!$A$1:$V$199</definedName>
    <definedName name="_xlnm.Print_Area" localSheetId="0">WPF!$A$1:$AH$109</definedName>
    <definedName name="_xlnm.Print_Titles" localSheetId="9">'obligacje 2013'!#REF!</definedName>
    <definedName name="_xlnm.Print_Titles" localSheetId="10">'obligacje 2014'!#REF!</definedName>
    <definedName name="_xlnm.Print_Titles" localSheetId="11">'obligacje 2015'!#REF!</definedName>
    <definedName name="_xlnm.Print_Titles" localSheetId="12">'obligacje 2016'!#REF!</definedName>
    <definedName name="_xlnm.Print_Titles" localSheetId="13">'obligacje 2017'!#REF!</definedName>
    <definedName name="_xlnm.Print_Titles" localSheetId="14">'obligacje 2018'!#REF!</definedName>
    <definedName name="_xlnm.Print_Titles" localSheetId="15">'obligacje 2019'!#REF!</definedName>
    <definedName name="_xlnm.Print_Titles" localSheetId="16">'obligacje 2020'!#REF!</definedName>
    <definedName name="_xlnm.Print_Titles" localSheetId="17">'obligacje 2021'!#REF!</definedName>
    <definedName name="_xlnm.Print_Titles" localSheetId="18">'obligacje 2022'!#REF!</definedName>
    <definedName name="_xlnm.Print_Titles" localSheetId="19">'obligacje 2023'!#REF!</definedName>
    <definedName name="_xlnm.Print_Titles" localSheetId="20">'pożyczka 2013'!#REF!</definedName>
    <definedName name="_xlnm.Print_Titles" localSheetId="21">'pożyczka 2014'!#REF!</definedName>
    <definedName name="_xlnm.Print_Titles" localSheetId="22">'pożyczka 2015'!#REF!</definedName>
    <definedName name="Z_7BD7CFEC_630A_43DC_A164_EFC05DD38EF7_.wvu.Cols" localSheetId="7" hidden="1">'HSZ do groszy'!$CA:$XFD</definedName>
    <definedName name="Z_7BD7CFEC_630A_43DC_A164_EFC05DD38EF7_.wvu.Cols" localSheetId="8" hidden="1">'HSZ do złotówek'!$CA:$XFD</definedName>
    <definedName name="Z_7BD7CFEC_630A_43DC_A164_EFC05DD38EF7_.wvu.Cols" localSheetId="1" hidden="1">'Prognozowana kwota długu'!$R:$XFD</definedName>
    <definedName name="Z_7BD7CFEC_630A_43DC_A164_EFC05DD38EF7_.wvu.Cols" localSheetId="4" hidden="1">'Przedsięwzięcia  - majątkowe'!$X:$XFD</definedName>
    <definedName name="Z_7BD7CFEC_630A_43DC_A164_EFC05DD38EF7_.wvu.Cols" localSheetId="3" hidden="1">'Przedsięwzięcia - bierzące'!$X:$XFD</definedName>
    <definedName name="Z_7BD7CFEC_630A_43DC_A164_EFC05DD38EF7_.wvu.Cols" localSheetId="5" hidden="1">'Przedsięwzięcia - Poręczenia'!$AC:$XFD</definedName>
    <definedName name="Z_7BD7CFEC_630A_43DC_A164_EFC05DD38EF7_.wvu.Cols" localSheetId="0" hidden="1">WPF!$S:$AA,WPF!$AC:$XFD</definedName>
    <definedName name="Z_7BD7CFEC_630A_43DC_A164_EFC05DD38EF7_.wvu.PrintArea" localSheetId="7" hidden="1">'HSZ do groszy'!$A$2:$AH$60,'HSZ do groszy'!$AK$2:$BY$60</definedName>
    <definedName name="Z_7BD7CFEC_630A_43DC_A164_EFC05DD38EF7_.wvu.PrintArea" localSheetId="8" hidden="1">'HSZ do złotówek'!$A$3:$BY$63</definedName>
    <definedName name="Z_7BD7CFEC_630A_43DC_A164_EFC05DD38EF7_.wvu.PrintArea" localSheetId="9" hidden="1">'obligacje 2013'!$A$1:$W$172</definedName>
    <definedName name="Z_7BD7CFEC_630A_43DC_A164_EFC05DD38EF7_.wvu.PrintArea" localSheetId="10" hidden="1">'obligacje 2014'!$A$1:$W$172</definedName>
    <definedName name="Z_7BD7CFEC_630A_43DC_A164_EFC05DD38EF7_.wvu.PrintArea" localSheetId="11" hidden="1">'obligacje 2015'!$A$1:$W$172</definedName>
    <definedName name="Z_7BD7CFEC_630A_43DC_A164_EFC05DD38EF7_.wvu.PrintArea" localSheetId="12" hidden="1">'obligacje 2016'!$A$1:$W$172</definedName>
    <definedName name="Z_7BD7CFEC_630A_43DC_A164_EFC05DD38EF7_.wvu.PrintArea" localSheetId="13" hidden="1">'obligacje 2017'!$A$1:$W$172</definedName>
    <definedName name="Z_7BD7CFEC_630A_43DC_A164_EFC05DD38EF7_.wvu.PrintArea" localSheetId="14" hidden="1">'obligacje 2018'!$A$1:$W$172</definedName>
    <definedName name="Z_7BD7CFEC_630A_43DC_A164_EFC05DD38EF7_.wvu.PrintArea" localSheetId="15" hidden="1">'obligacje 2019'!$A$1:$W$172</definedName>
    <definedName name="Z_7BD7CFEC_630A_43DC_A164_EFC05DD38EF7_.wvu.PrintArea" localSheetId="16" hidden="1">'obligacje 2020'!$A$1:$W$172</definedName>
    <definedName name="Z_7BD7CFEC_630A_43DC_A164_EFC05DD38EF7_.wvu.PrintArea" localSheetId="17" hidden="1">'obligacje 2021'!$A$1:$W$172</definedName>
    <definedName name="Z_7BD7CFEC_630A_43DC_A164_EFC05DD38EF7_.wvu.PrintArea" localSheetId="18" hidden="1">'obligacje 2022'!$A$1:$W$172</definedName>
    <definedName name="Z_7BD7CFEC_630A_43DC_A164_EFC05DD38EF7_.wvu.PrintArea" localSheetId="19" hidden="1">'obligacje 2023'!$A$1:$W$172</definedName>
    <definedName name="Z_7BD7CFEC_630A_43DC_A164_EFC05DD38EF7_.wvu.PrintArea" localSheetId="20" hidden="1">'pożyczka 2013'!$A$1:$W$172</definedName>
    <definedName name="Z_7BD7CFEC_630A_43DC_A164_EFC05DD38EF7_.wvu.PrintArea" localSheetId="21" hidden="1">'pożyczka 2014'!$A$1:$W$172</definedName>
    <definedName name="Z_7BD7CFEC_630A_43DC_A164_EFC05DD38EF7_.wvu.PrintArea" localSheetId="22" hidden="1">'pożyczka 2015'!$A$1:$W$172</definedName>
    <definedName name="Z_7BD7CFEC_630A_43DC_A164_EFC05DD38EF7_.wvu.PrintArea" localSheetId="0" hidden="1">WPF!$A$1:$AH$109</definedName>
    <definedName name="Z_7BD7CFEC_630A_43DC_A164_EFC05DD38EF7_.wvu.Rows" localSheetId="7" hidden="1">'HSZ do groszy'!$119:$1048576,'HSZ do groszy'!$62:$73,'HSZ do groszy'!$87:$88</definedName>
    <definedName name="Z_7BD7CFEC_630A_43DC_A164_EFC05DD38EF7_.wvu.Rows" localSheetId="8" hidden="1">'HSZ do złotówek'!$98:$1048576,'HSZ do złotówek'!$66:$67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długu'!$67:$1048576,'Prognozowana kwota długu'!$45:$66</definedName>
    <definedName name="Z_7BD7CFEC_630A_43DC_A164_EFC05DD38EF7_.wvu.Rows" localSheetId="0" hidden="1">WPF!$149:$1048576,WPF!$113:$113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L192" i="5"/>
  <c r="S188"/>
  <c r="R188"/>
  <c r="Q188"/>
  <c r="P188"/>
  <c r="S196"/>
  <c r="R196"/>
  <c r="Q196"/>
  <c r="S192"/>
  <c r="R192"/>
  <c r="Q192"/>
  <c r="P196"/>
  <c r="P192"/>
  <c r="U67"/>
  <c r="U65"/>
  <c r="N65"/>
  <c r="U63"/>
  <c r="U61"/>
  <c r="N61"/>
  <c r="T57"/>
  <c r="S57"/>
  <c r="V67" s="1"/>
  <c r="R57"/>
  <c r="V65" s="1"/>
  <c r="Q57"/>
  <c r="V63" s="1"/>
  <c r="P57"/>
  <c r="V61" s="1"/>
  <c r="U28"/>
  <c r="U26"/>
  <c r="N26"/>
  <c r="U24"/>
  <c r="U22"/>
  <c r="N22"/>
  <c r="T18"/>
  <c r="S18"/>
  <c r="V28" s="1"/>
  <c r="R18"/>
  <c r="V26" s="1"/>
  <c r="Q18"/>
  <c r="V24" s="1"/>
  <c r="P18"/>
  <c r="V22" s="1"/>
  <c r="N169"/>
  <c r="U167"/>
  <c r="U165"/>
  <c r="N165"/>
  <c r="T161"/>
  <c r="S161"/>
  <c r="R161"/>
  <c r="Q161"/>
  <c r="V167" s="1"/>
  <c r="P161"/>
  <c r="V165" s="1"/>
  <c r="U57" l="1"/>
  <c r="N57" s="1"/>
  <c r="L57" s="1"/>
  <c r="N18"/>
  <c r="L18" s="1"/>
  <c r="U18"/>
  <c r="U161"/>
  <c r="N161" s="1"/>
  <c r="L161" s="1"/>
  <c r="E30" i="7"/>
  <c r="L89" i="6"/>
  <c r="Z87"/>
  <c r="Y87"/>
  <c r="X87"/>
  <c r="W87"/>
  <c r="V87"/>
  <c r="U87"/>
  <c r="T87"/>
  <c r="S87"/>
  <c r="R87"/>
  <c r="Q87"/>
  <c r="P87"/>
  <c r="N182" i="5"/>
  <c r="U180"/>
  <c r="U178"/>
  <c r="N178"/>
  <c r="T174"/>
  <c r="S174"/>
  <c r="R174"/>
  <c r="Q174"/>
  <c r="V180" s="1"/>
  <c r="P174"/>
  <c r="V178" s="1"/>
  <c r="R36" i="2"/>
  <c r="Q36"/>
  <c r="T65" i="1"/>
  <c r="T18"/>
  <c r="T17" s="1"/>
  <c r="S18"/>
  <c r="S17" s="1"/>
  <c r="T19"/>
  <c r="AM30" i="7"/>
  <c r="BW29"/>
  <c r="BW30" s="1"/>
  <c r="BT29"/>
  <c r="BQ29"/>
  <c r="BN29"/>
  <c r="BK29"/>
  <c r="BH29"/>
  <c r="BE29"/>
  <c r="BB29"/>
  <c r="AY29"/>
  <c r="AV29"/>
  <c r="BW28"/>
  <c r="BT28"/>
  <c r="BT30" s="1"/>
  <c r="BQ28"/>
  <c r="BN28"/>
  <c r="BK28"/>
  <c r="BH28"/>
  <c r="BE28"/>
  <c r="BB28"/>
  <c r="AY28"/>
  <c r="AV28"/>
  <c r="AS28"/>
  <c r="BU27"/>
  <c r="BT27"/>
  <c r="BV27" s="1"/>
  <c r="P170" i="19"/>
  <c r="P158"/>
  <c r="P134"/>
  <c r="T61" i="1"/>
  <c r="R25" i="2"/>
  <c r="Q25"/>
  <c r="B45" i="7"/>
  <c r="AH55"/>
  <c r="AH54"/>
  <c r="AH53"/>
  <c r="AH52"/>
  <c r="AH51"/>
  <c r="AH50"/>
  <c r="AH49"/>
  <c r="AH48"/>
  <c r="AH47"/>
  <c r="AH46"/>
  <c r="AH45"/>
  <c r="AF52"/>
  <c r="H24" i="2"/>
  <c r="G24"/>
  <c r="G23"/>
  <c r="F24"/>
  <c r="F23"/>
  <c r="F22"/>
  <c r="I23" i="1"/>
  <c r="H23"/>
  <c r="P26" i="23"/>
  <c r="P14"/>
  <c r="AG57" i="7"/>
  <c r="AE57"/>
  <c r="AC57"/>
  <c r="AA57"/>
  <c r="Y57"/>
  <c r="W57"/>
  <c r="U57"/>
  <c r="S57"/>
  <c r="Q57"/>
  <c r="O57"/>
  <c r="M57"/>
  <c r="K57"/>
  <c r="J57"/>
  <c r="I57"/>
  <c r="H57"/>
  <c r="G57"/>
  <c r="AG30"/>
  <c r="AE30"/>
  <c r="AC30"/>
  <c r="AA30"/>
  <c r="Y30"/>
  <c r="W30"/>
  <c r="U30"/>
  <c r="S30"/>
  <c r="Q30"/>
  <c r="O30"/>
  <c r="M30"/>
  <c r="K30"/>
  <c r="J30"/>
  <c r="I30"/>
  <c r="G30"/>
  <c r="H30"/>
  <c r="AG29" i="8"/>
  <c r="BW29" s="1"/>
  <c r="R24" i="2" s="1"/>
  <c r="AE29" i="8"/>
  <c r="AC29"/>
  <c r="Q24" i="3" s="1"/>
  <c r="AA29" i="8"/>
  <c r="P24" i="3" s="1"/>
  <c r="Y29" i="8"/>
  <c r="O24" i="3" s="1"/>
  <c r="W29" i="8"/>
  <c r="N24" i="3" s="1"/>
  <c r="U29" i="8"/>
  <c r="M24" i="3" s="1"/>
  <c r="S29" i="8"/>
  <c r="L24" i="3" s="1"/>
  <c r="Q29" i="8"/>
  <c r="K24" i="3" s="1"/>
  <c r="O29" i="8"/>
  <c r="J24" i="3" s="1"/>
  <c r="N29" i="8"/>
  <c r="M29"/>
  <c r="I24" i="3" s="1"/>
  <c r="L29" i="8"/>
  <c r="K29"/>
  <c r="H24" i="3" s="1"/>
  <c r="J29" i="8"/>
  <c r="I29"/>
  <c r="G24" i="3" s="1"/>
  <c r="H29" i="8"/>
  <c r="G29"/>
  <c r="F24" i="3" s="1"/>
  <c r="D29" i="8"/>
  <c r="C29"/>
  <c r="A29"/>
  <c r="C24" i="3" s="1"/>
  <c r="AG28" i="8"/>
  <c r="BW28" s="1"/>
  <c r="R23" i="2" s="1"/>
  <c r="AE28" i="8"/>
  <c r="BT28" s="1"/>
  <c r="Q23" i="2" s="1"/>
  <c r="AC28" i="8"/>
  <c r="Q23" i="3" s="1"/>
  <c r="AA28" i="8"/>
  <c r="P23" i="3" s="1"/>
  <c r="Y28" i="8"/>
  <c r="O23" i="3" s="1"/>
  <c r="W28" i="8"/>
  <c r="N23" i="3" s="1"/>
  <c r="U28" i="8"/>
  <c r="M23" i="3" s="1"/>
  <c r="S28" i="8"/>
  <c r="L23" i="3" s="1"/>
  <c r="Q28" i="8"/>
  <c r="K23" i="3" s="1"/>
  <c r="O28" i="8"/>
  <c r="J23" i="3" s="1"/>
  <c r="M28" i="8"/>
  <c r="I23" i="3" s="1"/>
  <c r="L28" i="8"/>
  <c r="K28"/>
  <c r="H23" i="3" s="1"/>
  <c r="J28" i="8"/>
  <c r="I28"/>
  <c r="G23" i="3" s="1"/>
  <c r="H28" i="8"/>
  <c r="G28"/>
  <c r="F23" i="3" s="1"/>
  <c r="D28" i="8"/>
  <c r="C28"/>
  <c r="A28"/>
  <c r="C23" i="3" s="1"/>
  <c r="AH27" i="8"/>
  <c r="BX27" s="1"/>
  <c r="AG27"/>
  <c r="BW27" s="1"/>
  <c r="AF27"/>
  <c r="BU27" s="1"/>
  <c r="AE27"/>
  <c r="R22" i="3" s="1"/>
  <c r="AC27" i="8"/>
  <c r="Q22" i="3" s="1"/>
  <c r="AA27" i="8"/>
  <c r="P22" i="3" s="1"/>
  <c r="Y27" i="8"/>
  <c r="O22" i="3" s="1"/>
  <c r="W27" i="8"/>
  <c r="N22" i="3" s="1"/>
  <c r="U27" i="8"/>
  <c r="M22" i="3" s="1"/>
  <c r="S27" i="8"/>
  <c r="L22" i="3" s="1"/>
  <c r="Q27" i="8"/>
  <c r="K22" i="3" s="1"/>
  <c r="O27" i="8"/>
  <c r="J22" i="3" s="1"/>
  <c r="M27" i="8"/>
  <c r="I22" i="3" s="1"/>
  <c r="K27" i="8"/>
  <c r="H22" i="3" s="1"/>
  <c r="J27" i="8"/>
  <c r="I27"/>
  <c r="G22" i="3" s="1"/>
  <c r="H27" i="8"/>
  <c r="G27"/>
  <c r="F22" i="3" s="1"/>
  <c r="D27" i="8"/>
  <c r="C27"/>
  <c r="A27"/>
  <c r="C22" i="2" s="1"/>
  <c r="B28" i="8"/>
  <c r="B27"/>
  <c r="P146" i="22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P172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K29"/>
  <c r="AK28"/>
  <c r="P134" i="21"/>
  <c r="AA2"/>
  <c r="P146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R152" i="5"/>
  <c r="N156"/>
  <c r="U158"/>
  <c r="U156"/>
  <c r="U154"/>
  <c r="U152"/>
  <c r="N152"/>
  <c r="T148"/>
  <c r="S148"/>
  <c r="V158" s="1"/>
  <c r="R148"/>
  <c r="V156" s="1"/>
  <c r="Q148"/>
  <c r="V154" s="1"/>
  <c r="P148"/>
  <c r="V152" s="1"/>
  <c r="L136" i="4"/>
  <c r="P122" i="5"/>
  <c r="T196"/>
  <c r="T192"/>
  <c r="T128" i="4"/>
  <c r="S128"/>
  <c r="R128"/>
  <c r="Q132"/>
  <c r="Q136"/>
  <c r="AH41" i="7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E28" i="8" l="1"/>
  <c r="E27"/>
  <c r="U174" i="5"/>
  <c r="N174" s="1"/>
  <c r="L174" s="1"/>
  <c r="BY27" i="8"/>
  <c r="R22" i="2"/>
  <c r="BT29" i="8"/>
  <c r="Q24" i="2" s="1"/>
  <c r="C22" i="3"/>
  <c r="BT27" i="8"/>
  <c r="C23" i="2"/>
  <c r="R23" i="3"/>
  <c r="C24" i="2"/>
  <c r="R24" i="3"/>
  <c r="AS28" i="8"/>
  <c r="AV28"/>
  <c r="AY28"/>
  <c r="BB28"/>
  <c r="BE28"/>
  <c r="BH28"/>
  <c r="BK28"/>
  <c r="BN28"/>
  <c r="BQ28"/>
  <c r="AP27"/>
  <c r="AS27"/>
  <c r="AV27"/>
  <c r="AY27"/>
  <c r="BB27"/>
  <c r="BE27"/>
  <c r="BH27"/>
  <c r="BK27"/>
  <c r="BN27"/>
  <c r="BQ27"/>
  <c r="BQ29"/>
  <c r="P24" i="2" s="1"/>
  <c r="BN29" i="8"/>
  <c r="O24" i="2" s="1"/>
  <c r="BK29" i="8"/>
  <c r="N24" i="2" s="1"/>
  <c r="BH29" i="8"/>
  <c r="M24" i="2" s="1"/>
  <c r="BE29" i="8"/>
  <c r="L24" i="2" s="1"/>
  <c r="BB29" i="8"/>
  <c r="K24" i="2" s="1"/>
  <c r="AY29" i="8"/>
  <c r="J24" i="2" s="1"/>
  <c r="P172" i="23"/>
  <c r="AV29" i="8"/>
  <c r="E29"/>
  <c r="B30" i="7"/>
  <c r="B29" i="8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P172" i="21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U148" i="5"/>
  <c r="N148" s="1"/>
  <c r="L148" s="1"/>
  <c r="G51" i="3"/>
  <c r="R50"/>
  <c r="Q50"/>
  <c r="P50"/>
  <c r="O50"/>
  <c r="N50"/>
  <c r="M50"/>
  <c r="L50"/>
  <c r="K50"/>
  <c r="J50"/>
  <c r="I50"/>
  <c r="H50"/>
  <c r="G50"/>
  <c r="F51"/>
  <c r="F50"/>
  <c r="F49"/>
  <c r="R42"/>
  <c r="R25"/>
  <c r="P134" i="17"/>
  <c r="P134" i="16"/>
  <c r="P134" i="15"/>
  <c r="P134" i="14"/>
  <c r="P146"/>
  <c r="P146" i="13"/>
  <c r="P134"/>
  <c r="P134" i="12"/>
  <c r="P134" i="11"/>
  <c r="P134" i="10"/>
  <c r="P146" i="9"/>
  <c r="P134"/>
  <c r="BV27" i="8" l="1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110"/>
  <c r="P98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34" i="18"/>
  <c r="P146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22"/>
  <c r="P110"/>
  <c r="P98"/>
  <c r="P86"/>
  <c r="P74"/>
  <c r="P62"/>
  <c r="P50"/>
  <c r="P38"/>
  <c r="P26"/>
  <c r="P14"/>
  <c r="P122" i="14"/>
  <c r="P110"/>
  <c r="P98"/>
  <c r="P86"/>
  <c r="P74"/>
  <c r="P62"/>
  <c r="P50"/>
  <c r="P38"/>
  <c r="P26"/>
  <c r="P14"/>
  <c r="P146" i="12"/>
  <c r="P122"/>
  <c r="P110"/>
  <c r="P98"/>
  <c r="P86"/>
  <c r="P74"/>
  <c r="P62"/>
  <c r="P50"/>
  <c r="P38"/>
  <c r="P26"/>
  <c r="P14"/>
  <c r="P146" i="11"/>
  <c r="P122"/>
  <c r="P110"/>
  <c r="P98"/>
  <c r="P86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98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P110"/>
  <c r="D148"/>
  <c r="D100"/>
  <c r="D112"/>
  <c r="P98"/>
  <c r="P86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R29" i="7" s="1"/>
  <c r="Y15" i="23"/>
  <c r="D63"/>
  <c r="D64"/>
  <c r="D62"/>
  <c r="D61"/>
  <c r="D60"/>
  <c r="D59"/>
  <c r="D58"/>
  <c r="D57"/>
  <c r="D56"/>
  <c r="D55"/>
  <c r="D54"/>
  <c r="D53"/>
  <c r="Y39"/>
  <c r="P29" i="7" s="1"/>
  <c r="Y63" i="23"/>
  <c r="T29" i="7" s="1"/>
  <c r="Y27" i="22"/>
  <c r="N28" i="7" s="1"/>
  <c r="Y51" i="22"/>
  <c r="R28" i="7" s="1"/>
  <c r="Y15" i="22"/>
  <c r="D63"/>
  <c r="D64"/>
  <c r="D62"/>
  <c r="D61"/>
  <c r="D60"/>
  <c r="D59"/>
  <c r="D58"/>
  <c r="D57"/>
  <c r="D56"/>
  <c r="D55"/>
  <c r="D54"/>
  <c r="D53"/>
  <c r="Y39"/>
  <c r="P28" i="7" s="1"/>
  <c r="Y63" i="22"/>
  <c r="T28" i="7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P28" i="8" l="1"/>
  <c r="R28"/>
  <c r="T28"/>
  <c r="N28"/>
  <c r="T29"/>
  <c r="P29"/>
  <c r="R29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V29" i="7" s="1"/>
  <c r="D87" i="23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49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8" i="8" l="1"/>
  <c r="V29"/>
  <c r="Y87" i="23"/>
  <c r="X29" i="7" s="1"/>
  <c r="Y87" i="22"/>
  <c r="X28" i="7" s="1"/>
  <c r="D99" i="23"/>
  <c r="D100" s="1"/>
  <c r="D98"/>
  <c r="D97"/>
  <c r="D96"/>
  <c r="D95"/>
  <c r="D94"/>
  <c r="D93"/>
  <c r="D92"/>
  <c r="D91"/>
  <c r="D90"/>
  <c r="D89"/>
  <c r="T100"/>
  <c r="Y111" s="1"/>
  <c r="AB29" i="7" s="1"/>
  <c r="T94" i="23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X28" i="8" l="1"/>
  <c r="AB28"/>
  <c r="Y99" i="23"/>
  <c r="Z29" i="7" s="1"/>
  <c r="AB29" i="8"/>
  <c r="X29"/>
  <c r="Y99" i="22"/>
  <c r="Z28" i="7" s="1"/>
  <c r="D111" i="23"/>
  <c r="D112" s="1"/>
  <c r="D110"/>
  <c r="D109"/>
  <c r="D108"/>
  <c r="D107"/>
  <c r="D106"/>
  <c r="D105"/>
  <c r="D104"/>
  <c r="D103"/>
  <c r="D102"/>
  <c r="D101"/>
  <c r="T112"/>
  <c r="Y123" s="1"/>
  <c r="AD29" i="7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D111" i="21"/>
  <c r="D112" s="1"/>
  <c r="D110"/>
  <c r="D109"/>
  <c r="D108"/>
  <c r="D107"/>
  <c r="D106"/>
  <c r="D105"/>
  <c r="D104"/>
  <c r="D103"/>
  <c r="D102"/>
  <c r="D101"/>
  <c r="Y75" i="13"/>
  <c r="V49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AD28" i="8" l="1"/>
  <c r="Z28"/>
  <c r="Z29"/>
  <c r="AD29"/>
  <c r="D123" i="23"/>
  <c r="D124" s="1"/>
  <c r="D122"/>
  <c r="D121"/>
  <c r="D120"/>
  <c r="D119"/>
  <c r="D118"/>
  <c r="D117"/>
  <c r="D116"/>
  <c r="D115"/>
  <c r="D114"/>
  <c r="D113"/>
  <c r="T124"/>
  <c r="Y135" s="1"/>
  <c r="AF29" i="7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49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49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28" i="8" l="1"/>
  <c r="AF30" i="7"/>
  <c r="AF29" i="8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AH29" i="7" s="1"/>
  <c r="BU29" s="1"/>
  <c r="BV29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BL28" s="1"/>
  <c r="BM28" s="1"/>
  <c r="D135" i="21"/>
  <c r="D134"/>
  <c r="D133"/>
  <c r="D132"/>
  <c r="D131"/>
  <c r="D130"/>
  <c r="D129"/>
  <c r="D128"/>
  <c r="D127"/>
  <c r="D126"/>
  <c r="D125"/>
  <c r="Y99" i="13"/>
  <c r="Z49" i="7" s="1"/>
  <c r="D111" i="13"/>
  <c r="D112" s="1"/>
  <c r="D110"/>
  <c r="D109"/>
  <c r="D108"/>
  <c r="D107"/>
  <c r="D106"/>
  <c r="D105"/>
  <c r="D104"/>
  <c r="D103"/>
  <c r="D102"/>
  <c r="D101"/>
  <c r="T112"/>
  <c r="Y123" s="1"/>
  <c r="AD49" i="7" s="1"/>
  <c r="AD49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6" i="8"/>
  <c r="BX56" s="1"/>
  <c r="AG56"/>
  <c r="BW56" s="1"/>
  <c r="AF56"/>
  <c r="BU56" s="1"/>
  <c r="AE56"/>
  <c r="BT56" s="1"/>
  <c r="AD56"/>
  <c r="BR56" s="1"/>
  <c r="AC56"/>
  <c r="BQ56" s="1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F56" s="1"/>
  <c r="G56"/>
  <c r="E56" s="1"/>
  <c r="D56"/>
  <c r="C56"/>
  <c r="B56"/>
  <c r="A56"/>
  <c r="AH55"/>
  <c r="BX55" s="1"/>
  <c r="AG55"/>
  <c r="BW55" s="1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BX54" s="1"/>
  <c r="AG54"/>
  <c r="BW54" s="1"/>
  <c r="AE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E54" s="1"/>
  <c r="D54"/>
  <c r="C54"/>
  <c r="A54"/>
  <c r="AH53"/>
  <c r="BX53" s="1"/>
  <c r="AG53"/>
  <c r="BW53" s="1"/>
  <c r="AE53"/>
  <c r="BT53" s="1"/>
  <c r="AC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K53" s="1"/>
  <c r="AH52"/>
  <c r="BX52" s="1"/>
  <c r="AG52"/>
  <c r="BW52" s="1"/>
  <c r="AF52"/>
  <c r="BU52" s="1"/>
  <c r="AE52"/>
  <c r="BT52" s="1"/>
  <c r="AC52"/>
  <c r="AA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K52" s="1"/>
  <c r="AH51"/>
  <c r="BX51" s="1"/>
  <c r="AG51"/>
  <c r="BW51" s="1"/>
  <c r="AE51"/>
  <c r="BT51" s="1"/>
  <c r="AC51"/>
  <c r="AA51"/>
  <c r="Y51"/>
  <c r="W51"/>
  <c r="V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K51" s="1"/>
  <c r="AH50"/>
  <c r="BX50" s="1"/>
  <c r="AG50"/>
  <c r="BW50" s="1"/>
  <c r="AE50"/>
  <c r="BT50" s="1"/>
  <c r="AC50"/>
  <c r="AA50"/>
  <c r="Y50"/>
  <c r="W50"/>
  <c r="U50"/>
  <c r="T50"/>
  <c r="S50"/>
  <c r="R50"/>
  <c r="Q50"/>
  <c r="P50"/>
  <c r="O50"/>
  <c r="N50"/>
  <c r="M50"/>
  <c r="L50"/>
  <c r="K50"/>
  <c r="J50"/>
  <c r="I50"/>
  <c r="H50"/>
  <c r="G50"/>
  <c r="D50"/>
  <c r="C50"/>
  <c r="A50"/>
  <c r="AK50" s="1"/>
  <c r="AH49"/>
  <c r="BX49" s="1"/>
  <c r="AG49"/>
  <c r="BW49" s="1"/>
  <c r="AE49"/>
  <c r="AC49"/>
  <c r="BQ49" s="1"/>
  <c r="AA49"/>
  <c r="Y49"/>
  <c r="W49"/>
  <c r="U49"/>
  <c r="S49"/>
  <c r="R49"/>
  <c r="Q49"/>
  <c r="P49"/>
  <c r="O49"/>
  <c r="N49"/>
  <c r="M49"/>
  <c r="L49"/>
  <c r="K49"/>
  <c r="J49"/>
  <c r="I49"/>
  <c r="H49"/>
  <c r="G49"/>
  <c r="D49"/>
  <c r="C49"/>
  <c r="A49"/>
  <c r="AK49" s="1"/>
  <c r="AH48"/>
  <c r="BX48" s="1"/>
  <c r="AG48"/>
  <c r="BW48" s="1"/>
  <c r="AE48"/>
  <c r="AC48"/>
  <c r="AA48"/>
  <c r="Y48"/>
  <c r="W48"/>
  <c r="U48"/>
  <c r="S48"/>
  <c r="Q48"/>
  <c r="P48"/>
  <c r="O48"/>
  <c r="N48"/>
  <c r="M48"/>
  <c r="L48"/>
  <c r="K48"/>
  <c r="J48"/>
  <c r="I48"/>
  <c r="H48"/>
  <c r="G48"/>
  <c r="D48"/>
  <c r="C48"/>
  <c r="A48"/>
  <c r="AK48" s="1"/>
  <c r="AH47"/>
  <c r="BX47" s="1"/>
  <c r="AG47"/>
  <c r="BW47" s="1"/>
  <c r="AE47"/>
  <c r="BT47" s="1"/>
  <c r="AC47"/>
  <c r="AA47"/>
  <c r="Y47"/>
  <c r="W47"/>
  <c r="U47"/>
  <c r="S47"/>
  <c r="Q47"/>
  <c r="O47"/>
  <c r="N47"/>
  <c r="M47"/>
  <c r="L47"/>
  <c r="K47"/>
  <c r="J47"/>
  <c r="I47"/>
  <c r="H47"/>
  <c r="G47"/>
  <c r="D47"/>
  <c r="C47"/>
  <c r="A47"/>
  <c r="AK47" s="1"/>
  <c r="AG46"/>
  <c r="BW46" s="1"/>
  <c r="AE46"/>
  <c r="AC46"/>
  <c r="AA46"/>
  <c r="Y46"/>
  <c r="W46"/>
  <c r="U46"/>
  <c r="S46"/>
  <c r="Q46"/>
  <c r="O46"/>
  <c r="M46"/>
  <c r="L46"/>
  <c r="K46"/>
  <c r="J46"/>
  <c r="I46"/>
  <c r="H46"/>
  <c r="G46"/>
  <c r="D46"/>
  <c r="C46"/>
  <c r="A46"/>
  <c r="AK46" s="1"/>
  <c r="AG45"/>
  <c r="AE45"/>
  <c r="AC45"/>
  <c r="AA45"/>
  <c r="Y45"/>
  <c r="W45"/>
  <c r="U45"/>
  <c r="S45"/>
  <c r="Q45"/>
  <c r="O45"/>
  <c r="M45"/>
  <c r="K45"/>
  <c r="J45"/>
  <c r="I45"/>
  <c r="H45"/>
  <c r="G45"/>
  <c r="D45"/>
  <c r="C45"/>
  <c r="A45"/>
  <c r="AK45" s="1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F44" s="1"/>
  <c r="G44"/>
  <c r="E44" s="1"/>
  <c r="D44"/>
  <c r="C44"/>
  <c r="AH43"/>
  <c r="BX43" s="1"/>
  <c r="AG43"/>
  <c r="BW43" s="1"/>
  <c r="AF43"/>
  <c r="AE43"/>
  <c r="R34" i="3" s="1"/>
  <c r="AD43" i="8"/>
  <c r="AC43"/>
  <c r="AA22" i="20" s="1"/>
  <c r="AA18" s="1"/>
  <c r="AA23" s="1"/>
  <c r="AB43" i="8"/>
  <c r="AA43"/>
  <c r="Y22" i="20" s="1"/>
  <c r="Y18" s="1"/>
  <c r="Y23" s="1"/>
  <c r="Z43" i="8"/>
  <c r="Y43"/>
  <c r="W22" i="20" s="1"/>
  <c r="W18" s="1"/>
  <c r="W23" s="1"/>
  <c r="X43" i="8"/>
  <c r="W43"/>
  <c r="U22" i="20" s="1"/>
  <c r="U18" s="1"/>
  <c r="U23" s="1"/>
  <c r="V43" i="8"/>
  <c r="U43"/>
  <c r="S22" i="20" s="1"/>
  <c r="S18" s="1"/>
  <c r="S23" s="1"/>
  <c r="T43" i="8"/>
  <c r="S43"/>
  <c r="Q22" i="20" s="1"/>
  <c r="Q18" s="1"/>
  <c r="Q23" s="1"/>
  <c r="R43" i="8"/>
  <c r="Q43"/>
  <c r="O22" i="20" s="1"/>
  <c r="O18" s="1"/>
  <c r="O23" s="1"/>
  <c r="P43" i="8"/>
  <c r="O43"/>
  <c r="M22" i="20" s="1"/>
  <c r="M18" s="1"/>
  <c r="M23" s="1"/>
  <c r="N43" i="8"/>
  <c r="M43"/>
  <c r="K22" i="20" s="1"/>
  <c r="K18" s="1"/>
  <c r="K23" s="1"/>
  <c r="L43" i="8"/>
  <c r="K43"/>
  <c r="I22" i="20" s="1"/>
  <c r="I18" s="1"/>
  <c r="I23" s="1"/>
  <c r="J43" i="8"/>
  <c r="I43"/>
  <c r="G22" i="20" s="1"/>
  <c r="G18" s="1"/>
  <c r="G23" s="1"/>
  <c r="H43" i="8"/>
  <c r="G43"/>
  <c r="E22" i="20" s="1"/>
  <c r="E18" s="1"/>
  <c r="E23" s="1"/>
  <c r="D43" i="8"/>
  <c r="C43"/>
  <c r="A43"/>
  <c r="AK43" s="1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F42" s="1"/>
  <c r="G42"/>
  <c r="E42" s="1"/>
  <c r="D42"/>
  <c r="C42"/>
  <c r="B42"/>
  <c r="AH39"/>
  <c r="BX39" s="1"/>
  <c r="AG39"/>
  <c r="BW39" s="1"/>
  <c r="R34" i="2" s="1"/>
  <c r="AF39" i="8"/>
  <c r="BU39" s="1"/>
  <c r="AE39"/>
  <c r="AD39"/>
  <c r="BR39" s="1"/>
  <c r="AC39"/>
  <c r="AB39"/>
  <c r="BO39" s="1"/>
  <c r="AA39"/>
  <c r="Z39"/>
  <c r="BL39" s="1"/>
  <c r="Y39"/>
  <c r="X39"/>
  <c r="BI39" s="1"/>
  <c r="W39"/>
  <c r="V39"/>
  <c r="BF39" s="1"/>
  <c r="U39"/>
  <c r="T39"/>
  <c r="BC39" s="1"/>
  <c r="S39"/>
  <c r="R39"/>
  <c r="AZ39" s="1"/>
  <c r="Q39"/>
  <c r="P39"/>
  <c r="AW39" s="1"/>
  <c r="O39"/>
  <c r="N39"/>
  <c r="AT39" s="1"/>
  <c r="M39"/>
  <c r="L39"/>
  <c r="AQ39" s="1"/>
  <c r="K39"/>
  <c r="J39"/>
  <c r="AN39" s="1"/>
  <c r="I39"/>
  <c r="H39"/>
  <c r="F39" s="1"/>
  <c r="G39"/>
  <c r="D39"/>
  <c r="C39"/>
  <c r="B39"/>
  <c r="AL39" s="1"/>
  <c r="A39"/>
  <c r="AK39" s="1"/>
  <c r="AH38"/>
  <c r="BX38" s="1"/>
  <c r="AG38"/>
  <c r="BW38" s="1"/>
  <c r="R33" i="2" s="1"/>
  <c r="AF38" i="8"/>
  <c r="BU38" s="1"/>
  <c r="AE38"/>
  <c r="AD38"/>
  <c r="BR38" s="1"/>
  <c r="AC38"/>
  <c r="AB38"/>
  <c r="BO38" s="1"/>
  <c r="AA38"/>
  <c r="Z38"/>
  <c r="BL38" s="1"/>
  <c r="Y38"/>
  <c r="X38"/>
  <c r="BI38" s="1"/>
  <c r="W38"/>
  <c r="V38"/>
  <c r="BF38" s="1"/>
  <c r="U38"/>
  <c r="T38"/>
  <c r="BC38" s="1"/>
  <c r="S38"/>
  <c r="R38"/>
  <c r="AZ38" s="1"/>
  <c r="Q38"/>
  <c r="P38"/>
  <c r="AW38" s="1"/>
  <c r="O38"/>
  <c r="N38"/>
  <c r="AT38" s="1"/>
  <c r="M38"/>
  <c r="L38"/>
  <c r="AQ38" s="1"/>
  <c r="K38"/>
  <c r="J38"/>
  <c r="AN38" s="1"/>
  <c r="I38"/>
  <c r="H38"/>
  <c r="F38" s="1"/>
  <c r="G38"/>
  <c r="D38"/>
  <c r="C38"/>
  <c r="B38"/>
  <c r="AL38" s="1"/>
  <c r="A38"/>
  <c r="AK38" s="1"/>
  <c r="AH37"/>
  <c r="BX37" s="1"/>
  <c r="AG37"/>
  <c r="BW37" s="1"/>
  <c r="R32" i="2" s="1"/>
  <c r="AF37" i="8"/>
  <c r="BU37" s="1"/>
  <c r="AE37"/>
  <c r="AD37"/>
  <c r="BR37" s="1"/>
  <c r="AC37"/>
  <c r="AB37"/>
  <c r="BO37" s="1"/>
  <c r="AA37"/>
  <c r="Z37"/>
  <c r="BL37" s="1"/>
  <c r="Y37"/>
  <c r="X37"/>
  <c r="BI37" s="1"/>
  <c r="W37"/>
  <c r="V37"/>
  <c r="BF37" s="1"/>
  <c r="U37"/>
  <c r="T37"/>
  <c r="BC37" s="1"/>
  <c r="S37"/>
  <c r="R37"/>
  <c r="AZ37" s="1"/>
  <c r="Q37"/>
  <c r="P37"/>
  <c r="AW37" s="1"/>
  <c r="O37"/>
  <c r="N37"/>
  <c r="AT37" s="1"/>
  <c r="L37"/>
  <c r="J37"/>
  <c r="I37"/>
  <c r="G30" i="3" s="1"/>
  <c r="H37" i="8"/>
  <c r="G37"/>
  <c r="F30" i="3" s="1"/>
  <c r="D37" i="8"/>
  <c r="C37"/>
  <c r="B37"/>
  <c r="AL37" s="1"/>
  <c r="A37"/>
  <c r="AK37" s="1"/>
  <c r="AH36"/>
  <c r="BX36" s="1"/>
  <c r="AG36"/>
  <c r="BW36" s="1"/>
  <c r="R31" i="2" s="1"/>
  <c r="AF36" i="8"/>
  <c r="BU36" s="1"/>
  <c r="AE36"/>
  <c r="AD36"/>
  <c r="BR36" s="1"/>
  <c r="AC36"/>
  <c r="AB36"/>
  <c r="BO36" s="1"/>
  <c r="AA36"/>
  <c r="Z36"/>
  <c r="BL36" s="1"/>
  <c r="Y36"/>
  <c r="X36"/>
  <c r="BI36" s="1"/>
  <c r="W36"/>
  <c r="V36"/>
  <c r="BF36" s="1"/>
  <c r="U36"/>
  <c r="T36"/>
  <c r="BC36" s="1"/>
  <c r="S36"/>
  <c r="R36"/>
  <c r="AZ36" s="1"/>
  <c r="Q36"/>
  <c r="P36"/>
  <c r="AW36" s="1"/>
  <c r="O36"/>
  <c r="N36"/>
  <c r="AT36" s="1"/>
  <c r="M36"/>
  <c r="L36"/>
  <c r="AQ36" s="1"/>
  <c r="K36"/>
  <c r="J36"/>
  <c r="AN36" s="1"/>
  <c r="I36"/>
  <c r="H36"/>
  <c r="F36" s="1"/>
  <c r="G36"/>
  <c r="D36"/>
  <c r="C36"/>
  <c r="B36"/>
  <c r="AL36" s="1"/>
  <c r="A36"/>
  <c r="AK36" s="1"/>
  <c r="AH35"/>
  <c r="AH41" s="1"/>
  <c r="AG35"/>
  <c r="AG41" s="1"/>
  <c r="AF35"/>
  <c r="AF41" s="1"/>
  <c r="AE35"/>
  <c r="AD35"/>
  <c r="AD41" s="1"/>
  <c r="AC35"/>
  <c r="AC41" s="1"/>
  <c r="AB35"/>
  <c r="AB41" s="1"/>
  <c r="AA35"/>
  <c r="AA41" s="1"/>
  <c r="Z35"/>
  <c r="Z41" s="1"/>
  <c r="Y35"/>
  <c r="Y41" s="1"/>
  <c r="X35"/>
  <c r="X41" s="1"/>
  <c r="W35"/>
  <c r="W41" s="1"/>
  <c r="V35"/>
  <c r="V41" s="1"/>
  <c r="U35"/>
  <c r="U41" s="1"/>
  <c r="T35"/>
  <c r="T41" s="1"/>
  <c r="S35"/>
  <c r="S41" s="1"/>
  <c r="R35"/>
  <c r="R41" s="1"/>
  <c r="Q35"/>
  <c r="Q41" s="1"/>
  <c r="P35"/>
  <c r="O35"/>
  <c r="O41" s="1"/>
  <c r="N35"/>
  <c r="M35"/>
  <c r="L35"/>
  <c r="L41" s="1"/>
  <c r="K35"/>
  <c r="J35"/>
  <c r="I35"/>
  <c r="I41" s="1"/>
  <c r="H35"/>
  <c r="H41" s="1"/>
  <c r="G35"/>
  <c r="D35"/>
  <c r="D60" s="1"/>
  <c r="C35"/>
  <c r="B35"/>
  <c r="B60" s="1"/>
  <c r="A35"/>
  <c r="AK35" s="1"/>
  <c r="AL29"/>
  <c r="AK29"/>
  <c r="BX26"/>
  <c r="BW26"/>
  <c r="BU26"/>
  <c r="BT26"/>
  <c r="BR26"/>
  <c r="BQ26"/>
  <c r="BO26"/>
  <c r="BN26"/>
  <c r="BL26"/>
  <c r="BK26"/>
  <c r="BI26"/>
  <c r="BH26"/>
  <c r="BF26"/>
  <c r="BE26"/>
  <c r="BC26"/>
  <c r="BB26"/>
  <c r="AZ26"/>
  <c r="AY26"/>
  <c r="AW26"/>
  <c r="AV26"/>
  <c r="AT26"/>
  <c r="AS26"/>
  <c r="AQ26"/>
  <c r="AP26"/>
  <c r="AN26"/>
  <c r="AM26"/>
  <c r="AL26"/>
  <c r="A26"/>
  <c r="AK26" s="1"/>
  <c r="BX25"/>
  <c r="BW25"/>
  <c r="BU25"/>
  <c r="BT25"/>
  <c r="BR25"/>
  <c r="BQ25"/>
  <c r="BO25"/>
  <c r="BN25"/>
  <c r="BL25"/>
  <c r="BK25"/>
  <c r="BI25"/>
  <c r="BH25"/>
  <c r="BF25"/>
  <c r="BE25"/>
  <c r="BC25"/>
  <c r="BB25"/>
  <c r="AZ25"/>
  <c r="AY25"/>
  <c r="AW25"/>
  <c r="AV25"/>
  <c r="AT25"/>
  <c r="AS25"/>
  <c r="AQ25"/>
  <c r="AP25"/>
  <c r="AN25"/>
  <c r="AM25"/>
  <c r="AL25"/>
  <c r="A25"/>
  <c r="AK25" s="1"/>
  <c r="AH24"/>
  <c r="BX24" s="1"/>
  <c r="AG24"/>
  <c r="BW24" s="1"/>
  <c r="R19" i="2" s="1"/>
  <c r="AF24" i="8"/>
  <c r="BU24" s="1"/>
  <c r="AE24"/>
  <c r="AD24"/>
  <c r="BR24" s="1"/>
  <c r="AC24"/>
  <c r="AB24"/>
  <c r="BO24" s="1"/>
  <c r="AA24"/>
  <c r="Z24"/>
  <c r="BL24" s="1"/>
  <c r="Y24"/>
  <c r="X24"/>
  <c r="BI24" s="1"/>
  <c r="W24"/>
  <c r="V24"/>
  <c r="BF24" s="1"/>
  <c r="U24"/>
  <c r="T24"/>
  <c r="BC24" s="1"/>
  <c r="S24"/>
  <c r="R24"/>
  <c r="AZ24" s="1"/>
  <c r="Q24"/>
  <c r="P24"/>
  <c r="AW24" s="1"/>
  <c r="O24"/>
  <c r="N24"/>
  <c r="AT24" s="1"/>
  <c r="M24"/>
  <c r="L24"/>
  <c r="AQ24" s="1"/>
  <c r="K24"/>
  <c r="J24"/>
  <c r="AN24" s="1"/>
  <c r="I24"/>
  <c r="H24"/>
  <c r="F24" s="1"/>
  <c r="G24"/>
  <c r="D24"/>
  <c r="C24"/>
  <c r="B24"/>
  <c r="AL24" s="1"/>
  <c r="A24"/>
  <c r="AK24" s="1"/>
  <c r="AH23"/>
  <c r="BX23" s="1"/>
  <c r="AG23"/>
  <c r="BW23" s="1"/>
  <c r="R18" i="2" s="1"/>
  <c r="AF23" i="8"/>
  <c r="BU23" s="1"/>
  <c r="AE23"/>
  <c r="AD23"/>
  <c r="BR23" s="1"/>
  <c r="AC23"/>
  <c r="AB23"/>
  <c r="BO23" s="1"/>
  <c r="AA23"/>
  <c r="Z23"/>
  <c r="BL23" s="1"/>
  <c r="Y23"/>
  <c r="X23"/>
  <c r="BI23" s="1"/>
  <c r="W23"/>
  <c r="V23"/>
  <c r="BF23" s="1"/>
  <c r="U23"/>
  <c r="T23"/>
  <c r="BC23" s="1"/>
  <c r="S23"/>
  <c r="R23"/>
  <c r="AZ23" s="1"/>
  <c r="Q23"/>
  <c r="P23"/>
  <c r="AW23" s="1"/>
  <c r="O23"/>
  <c r="N23"/>
  <c r="AT23" s="1"/>
  <c r="M23"/>
  <c r="L23"/>
  <c r="AQ23" s="1"/>
  <c r="K23"/>
  <c r="J23"/>
  <c r="AN23" s="1"/>
  <c r="I23"/>
  <c r="H23"/>
  <c r="F23" s="1"/>
  <c r="G23"/>
  <c r="D23"/>
  <c r="C23"/>
  <c r="B23"/>
  <c r="AL23" s="1"/>
  <c r="A23"/>
  <c r="AK23" s="1"/>
  <c r="AH22"/>
  <c r="BX22" s="1"/>
  <c r="AG22"/>
  <c r="BW22" s="1"/>
  <c r="R17" i="2" s="1"/>
  <c r="AF22" i="8"/>
  <c r="BU22" s="1"/>
  <c r="AE22"/>
  <c r="AD22"/>
  <c r="BR22" s="1"/>
  <c r="AC22"/>
  <c r="AB22"/>
  <c r="BO22" s="1"/>
  <c r="AA22"/>
  <c r="Z22"/>
  <c r="BL22" s="1"/>
  <c r="Y22"/>
  <c r="X22"/>
  <c r="BI22" s="1"/>
  <c r="W22"/>
  <c r="V22"/>
  <c r="BF22" s="1"/>
  <c r="U22"/>
  <c r="T22"/>
  <c r="BC22" s="1"/>
  <c r="S22"/>
  <c r="R22"/>
  <c r="AZ22" s="1"/>
  <c r="Q22"/>
  <c r="P22"/>
  <c r="AW22" s="1"/>
  <c r="O22"/>
  <c r="N22"/>
  <c r="AT22" s="1"/>
  <c r="M22"/>
  <c r="L22"/>
  <c r="AQ22" s="1"/>
  <c r="K22"/>
  <c r="J22"/>
  <c r="AN22" s="1"/>
  <c r="I22"/>
  <c r="H22"/>
  <c r="F22" s="1"/>
  <c r="G22"/>
  <c r="D22"/>
  <c r="C22"/>
  <c r="B22"/>
  <c r="AL22" s="1"/>
  <c r="A22"/>
  <c r="AK22" s="1"/>
  <c r="AH21"/>
  <c r="BX21" s="1"/>
  <c r="AG21"/>
  <c r="BW21" s="1"/>
  <c r="R16" i="2" s="1"/>
  <c r="AF21" i="8"/>
  <c r="BU21" s="1"/>
  <c r="AE21"/>
  <c r="AD21"/>
  <c r="BR21" s="1"/>
  <c r="AC21"/>
  <c r="AB21"/>
  <c r="BO21" s="1"/>
  <c r="AA21"/>
  <c r="Z21"/>
  <c r="BL21" s="1"/>
  <c r="Y21"/>
  <c r="X21"/>
  <c r="BI21" s="1"/>
  <c r="W21"/>
  <c r="V21"/>
  <c r="BF21" s="1"/>
  <c r="U21"/>
  <c r="T21"/>
  <c r="BC21" s="1"/>
  <c r="S21"/>
  <c r="R21"/>
  <c r="AZ21" s="1"/>
  <c r="Q21"/>
  <c r="P21"/>
  <c r="AW21" s="1"/>
  <c r="O21"/>
  <c r="N21"/>
  <c r="AT21" s="1"/>
  <c r="M21"/>
  <c r="L21"/>
  <c r="AQ21" s="1"/>
  <c r="K21"/>
  <c r="J21"/>
  <c r="AN21" s="1"/>
  <c r="I21"/>
  <c r="H21"/>
  <c r="F21" s="1"/>
  <c r="G21"/>
  <c r="D21"/>
  <c r="C21"/>
  <c r="A21"/>
  <c r="AK21" s="1"/>
  <c r="AH20"/>
  <c r="BX20" s="1"/>
  <c r="AG20"/>
  <c r="BW20" s="1"/>
  <c r="R15" i="2" s="1"/>
  <c r="AF20" i="8"/>
  <c r="BU20" s="1"/>
  <c r="AE20"/>
  <c r="AD20"/>
  <c r="BR20" s="1"/>
  <c r="AC20"/>
  <c r="AB20"/>
  <c r="BO20" s="1"/>
  <c r="AA20"/>
  <c r="Z20"/>
  <c r="BL20" s="1"/>
  <c r="Y20"/>
  <c r="X20"/>
  <c r="BI20" s="1"/>
  <c r="W20"/>
  <c r="V20"/>
  <c r="BF20" s="1"/>
  <c r="U20"/>
  <c r="T20"/>
  <c r="BC20" s="1"/>
  <c r="S20"/>
  <c r="R20"/>
  <c r="AZ20" s="1"/>
  <c r="Q20"/>
  <c r="P20"/>
  <c r="AW20" s="1"/>
  <c r="O20"/>
  <c r="N20"/>
  <c r="AT20" s="1"/>
  <c r="M20"/>
  <c r="L20"/>
  <c r="AQ20" s="1"/>
  <c r="K20"/>
  <c r="J20"/>
  <c r="AN20" s="1"/>
  <c r="I20"/>
  <c r="H20"/>
  <c r="F20" s="1"/>
  <c r="G20"/>
  <c r="D20"/>
  <c r="C20"/>
  <c r="B20"/>
  <c r="AL20" s="1"/>
  <c r="A20"/>
  <c r="AK20" s="1"/>
  <c r="AH19"/>
  <c r="BX19" s="1"/>
  <c r="AG19"/>
  <c r="BW19" s="1"/>
  <c r="R14" i="2" s="1"/>
  <c r="AF19" i="8"/>
  <c r="BU19" s="1"/>
  <c r="AE19"/>
  <c r="AD19"/>
  <c r="BR19" s="1"/>
  <c r="AC19"/>
  <c r="AB19"/>
  <c r="BO19" s="1"/>
  <c r="AA19"/>
  <c r="Z19"/>
  <c r="BL19" s="1"/>
  <c r="Y19"/>
  <c r="X19"/>
  <c r="BI19" s="1"/>
  <c r="W19"/>
  <c r="V19"/>
  <c r="BF19" s="1"/>
  <c r="U19"/>
  <c r="T19"/>
  <c r="BC19" s="1"/>
  <c r="S19"/>
  <c r="R19"/>
  <c r="AZ19" s="1"/>
  <c r="Q19"/>
  <c r="P19"/>
  <c r="AW19" s="1"/>
  <c r="O19"/>
  <c r="N19"/>
  <c r="AT19" s="1"/>
  <c r="M19"/>
  <c r="L19"/>
  <c r="AQ19" s="1"/>
  <c r="K19"/>
  <c r="J19"/>
  <c r="AN19" s="1"/>
  <c r="I19"/>
  <c r="H19"/>
  <c r="F19" s="1"/>
  <c r="G19"/>
  <c r="D19"/>
  <c r="C19"/>
  <c r="B19"/>
  <c r="AL19" s="1"/>
  <c r="A19"/>
  <c r="AK19" s="1"/>
  <c r="AH18"/>
  <c r="BX18" s="1"/>
  <c r="AG18"/>
  <c r="BW18" s="1"/>
  <c r="R13" i="2" s="1"/>
  <c r="AF18" i="8"/>
  <c r="BU18" s="1"/>
  <c r="AE18"/>
  <c r="AD18"/>
  <c r="BR18" s="1"/>
  <c r="AC18"/>
  <c r="AB18"/>
  <c r="BO18" s="1"/>
  <c r="AA18"/>
  <c r="Z18"/>
  <c r="BL18" s="1"/>
  <c r="Y18"/>
  <c r="X18"/>
  <c r="BI18" s="1"/>
  <c r="W18"/>
  <c r="V18"/>
  <c r="BF18" s="1"/>
  <c r="U18"/>
  <c r="T18"/>
  <c r="BC18" s="1"/>
  <c r="S18"/>
  <c r="R18"/>
  <c r="AZ18" s="1"/>
  <c r="Q18"/>
  <c r="P18"/>
  <c r="AW18" s="1"/>
  <c r="O18"/>
  <c r="N18"/>
  <c r="AT18" s="1"/>
  <c r="M18"/>
  <c r="L18"/>
  <c r="AQ18" s="1"/>
  <c r="K18"/>
  <c r="J18"/>
  <c r="AN18" s="1"/>
  <c r="I18"/>
  <c r="H18"/>
  <c r="F18" s="1"/>
  <c r="G18"/>
  <c r="D18"/>
  <c r="C18"/>
  <c r="A18"/>
  <c r="AK18" s="1"/>
  <c r="AH17"/>
  <c r="BX17" s="1"/>
  <c r="AG17"/>
  <c r="BW17" s="1"/>
  <c r="R12" i="2" s="1"/>
  <c r="AF17" i="8"/>
  <c r="BU17" s="1"/>
  <c r="AE17"/>
  <c r="AD17"/>
  <c r="BR17" s="1"/>
  <c r="AC17"/>
  <c r="AB17"/>
  <c r="BO17" s="1"/>
  <c r="AA17"/>
  <c r="Z17"/>
  <c r="BL17" s="1"/>
  <c r="Y17"/>
  <c r="X17"/>
  <c r="BI17" s="1"/>
  <c r="W17"/>
  <c r="V17"/>
  <c r="BF17" s="1"/>
  <c r="U17"/>
  <c r="T17"/>
  <c r="BC17" s="1"/>
  <c r="S17"/>
  <c r="R17"/>
  <c r="AZ17" s="1"/>
  <c r="Q17"/>
  <c r="P17"/>
  <c r="AW17" s="1"/>
  <c r="O17"/>
  <c r="N17"/>
  <c r="AT17" s="1"/>
  <c r="M17"/>
  <c r="L17"/>
  <c r="K17"/>
  <c r="J17"/>
  <c r="I17"/>
  <c r="H17"/>
  <c r="G17"/>
  <c r="D17"/>
  <c r="C17"/>
  <c r="B17"/>
  <c r="AL17" s="1"/>
  <c r="A17"/>
  <c r="AK17" s="1"/>
  <c r="AH16"/>
  <c r="BX16" s="1"/>
  <c r="AG16"/>
  <c r="BW16" s="1"/>
  <c r="R11" i="2" s="1"/>
  <c r="AF16" i="8"/>
  <c r="BU16" s="1"/>
  <c r="AE16"/>
  <c r="AD16"/>
  <c r="BR16" s="1"/>
  <c r="AC16"/>
  <c r="AB16"/>
  <c r="AA16"/>
  <c r="Z16"/>
  <c r="Y16"/>
  <c r="X16"/>
  <c r="W16"/>
  <c r="V16"/>
  <c r="U16"/>
  <c r="T16"/>
  <c r="BC16" s="1"/>
  <c r="S16"/>
  <c r="R16"/>
  <c r="AZ16" s="1"/>
  <c r="Q16"/>
  <c r="P16"/>
  <c r="AW16" s="1"/>
  <c r="O16"/>
  <c r="N16"/>
  <c r="M16"/>
  <c r="L16"/>
  <c r="K16"/>
  <c r="J16"/>
  <c r="I16"/>
  <c r="H16"/>
  <c r="G16"/>
  <c r="D16"/>
  <c r="C16"/>
  <c r="B16"/>
  <c r="AL16" s="1"/>
  <c r="A16"/>
  <c r="AK16" s="1"/>
  <c r="AH15"/>
  <c r="BX15" s="1"/>
  <c r="AG15"/>
  <c r="BW15" s="1"/>
  <c r="R10" i="2" s="1"/>
  <c r="AF15" i="8"/>
  <c r="BU15" s="1"/>
  <c r="AE15"/>
  <c r="AD15"/>
  <c r="BR15" s="1"/>
  <c r="AC15"/>
  <c r="AB15"/>
  <c r="BO15" s="1"/>
  <c r="AA15"/>
  <c r="Z15"/>
  <c r="BL15" s="1"/>
  <c r="Y15"/>
  <c r="X15"/>
  <c r="BI15" s="1"/>
  <c r="W15"/>
  <c r="V15"/>
  <c r="BF15" s="1"/>
  <c r="U15"/>
  <c r="T15"/>
  <c r="BC15" s="1"/>
  <c r="S15"/>
  <c r="R15"/>
  <c r="Q15"/>
  <c r="P15"/>
  <c r="O15"/>
  <c r="N15"/>
  <c r="M15"/>
  <c r="L15"/>
  <c r="AQ15" s="1"/>
  <c r="K15"/>
  <c r="J15"/>
  <c r="I15"/>
  <c r="H15"/>
  <c r="G15"/>
  <c r="D15"/>
  <c r="C15"/>
  <c r="B15"/>
  <c r="AL15" s="1"/>
  <c r="A15"/>
  <c r="AK15" s="1"/>
  <c r="AH14"/>
  <c r="AG14"/>
  <c r="AF14"/>
  <c r="BU14" s="1"/>
  <c r="AE14"/>
  <c r="R9" i="3" s="1"/>
  <c r="AD14" i="8"/>
  <c r="AC14"/>
  <c r="AB14"/>
  <c r="BO14" s="1"/>
  <c r="AA14"/>
  <c r="Z14"/>
  <c r="Y14"/>
  <c r="X14"/>
  <c r="W14"/>
  <c r="V14"/>
  <c r="U14"/>
  <c r="T14"/>
  <c r="BC14" s="1"/>
  <c r="S14"/>
  <c r="R14"/>
  <c r="Q14"/>
  <c r="P14"/>
  <c r="O14"/>
  <c r="N14"/>
  <c r="M14"/>
  <c r="L14"/>
  <c r="K14"/>
  <c r="J14"/>
  <c r="I14"/>
  <c r="H14"/>
  <c r="G14"/>
  <c r="F9" i="3" s="1"/>
  <c r="D14" i="8"/>
  <c r="C14"/>
  <c r="B14"/>
  <c r="A14"/>
  <c r="AK14" s="1"/>
  <c r="AH10"/>
  <c r="BX10" s="1"/>
  <c r="AG10"/>
  <c r="BW10" s="1"/>
  <c r="AF10"/>
  <c r="BU10" s="1"/>
  <c r="AE10"/>
  <c r="BT10" s="1"/>
  <c r="AD10"/>
  <c r="AC10"/>
  <c r="BQ10" s="1"/>
  <c r="AB10"/>
  <c r="BO10" s="1"/>
  <c r="AA10"/>
  <c r="BN10" s="1"/>
  <c r="Z10"/>
  <c r="BL10" s="1"/>
  <c r="Y10"/>
  <c r="BK10" s="1"/>
  <c r="X10"/>
  <c r="BI10" s="1"/>
  <c r="W10"/>
  <c r="BH10" s="1"/>
  <c r="V10"/>
  <c r="BF10" s="1"/>
  <c r="U10"/>
  <c r="BE10" s="1"/>
  <c r="T10"/>
  <c r="BC10" s="1"/>
  <c r="S10"/>
  <c r="BB10" s="1"/>
  <c r="R10"/>
  <c r="AZ10" s="1"/>
  <c r="Q10"/>
  <c r="AY10" s="1"/>
  <c r="P10"/>
  <c r="AW10" s="1"/>
  <c r="O10"/>
  <c r="AV10" s="1"/>
  <c r="N10"/>
  <c r="AT10" s="1"/>
  <c r="M10"/>
  <c r="AS10" s="1"/>
  <c r="L10"/>
  <c r="AQ10" s="1"/>
  <c r="K10"/>
  <c r="AP10" s="1"/>
  <c r="J10"/>
  <c r="AN10" s="1"/>
  <c r="I10"/>
  <c r="AM10" s="1"/>
  <c r="H10"/>
  <c r="F10" s="1"/>
  <c r="G10"/>
  <c r="E10" s="1"/>
  <c r="D10"/>
  <c r="C10"/>
  <c r="B10"/>
  <c r="AL10" s="1"/>
  <c r="A10"/>
  <c r="AK10" s="1"/>
  <c r="AH9"/>
  <c r="BX9" s="1"/>
  <c r="AG9"/>
  <c r="BW9" s="1"/>
  <c r="AF9"/>
  <c r="BU9" s="1"/>
  <c r="AE9"/>
  <c r="BT9" s="1"/>
  <c r="AD9"/>
  <c r="BR9" s="1"/>
  <c r="AC9"/>
  <c r="BQ9" s="1"/>
  <c r="AB9"/>
  <c r="BO9" s="1"/>
  <c r="AA9"/>
  <c r="BN9" s="1"/>
  <c r="Z9"/>
  <c r="BL9" s="1"/>
  <c r="Y9"/>
  <c r="BK9" s="1"/>
  <c r="X9"/>
  <c r="BI9" s="1"/>
  <c r="W9"/>
  <c r="BH9" s="1"/>
  <c r="V9"/>
  <c r="BF9" s="1"/>
  <c r="U9"/>
  <c r="BE9" s="1"/>
  <c r="T9"/>
  <c r="BC9" s="1"/>
  <c r="S9"/>
  <c r="BB9" s="1"/>
  <c r="R9"/>
  <c r="AZ9" s="1"/>
  <c r="Q9"/>
  <c r="AY9" s="1"/>
  <c r="P9"/>
  <c r="AW9" s="1"/>
  <c r="O9"/>
  <c r="AV9" s="1"/>
  <c r="N9"/>
  <c r="AT9" s="1"/>
  <c r="M9"/>
  <c r="AS9" s="1"/>
  <c r="L9"/>
  <c r="AQ9" s="1"/>
  <c r="K9"/>
  <c r="AP9" s="1"/>
  <c r="J9"/>
  <c r="AN9" s="1"/>
  <c r="I9"/>
  <c r="AM9" s="1"/>
  <c r="H9"/>
  <c r="F9" s="1"/>
  <c r="G9"/>
  <c r="E9" s="1"/>
  <c r="D9"/>
  <c r="C9"/>
  <c r="B9"/>
  <c r="AL9" s="1"/>
  <c r="A9"/>
  <c r="AK9" s="1"/>
  <c r="AH8"/>
  <c r="BX8" s="1"/>
  <c r="AG8"/>
  <c r="BW8" s="1"/>
  <c r="AF8"/>
  <c r="BU8" s="1"/>
  <c r="AE8"/>
  <c r="BT8" s="1"/>
  <c r="AD8"/>
  <c r="BR8" s="1"/>
  <c r="AC8"/>
  <c r="BQ8" s="1"/>
  <c r="AB8"/>
  <c r="BO8" s="1"/>
  <c r="AA8"/>
  <c r="BN8" s="1"/>
  <c r="Z8"/>
  <c r="BL8" s="1"/>
  <c r="Y8"/>
  <c r="BK8" s="1"/>
  <c r="X8"/>
  <c r="W8"/>
  <c r="BH8" s="1"/>
  <c r="V8"/>
  <c r="U8"/>
  <c r="BE8" s="1"/>
  <c r="T8"/>
  <c r="S8"/>
  <c r="BB8" s="1"/>
  <c r="R8"/>
  <c r="Q8"/>
  <c r="AY8" s="1"/>
  <c r="P8"/>
  <c r="AW8" s="1"/>
  <c r="O8"/>
  <c r="AV8" s="1"/>
  <c r="N8"/>
  <c r="AT8" s="1"/>
  <c r="M8"/>
  <c r="AS8" s="1"/>
  <c r="L8"/>
  <c r="K8"/>
  <c r="AP8" s="1"/>
  <c r="J8"/>
  <c r="I8"/>
  <c r="AM8" s="1"/>
  <c r="H8"/>
  <c r="G8"/>
  <c r="E8" s="1"/>
  <c r="D8"/>
  <c r="C8"/>
  <c r="B8"/>
  <c r="AL8" s="1"/>
  <c r="A8"/>
  <c r="AK8" s="1"/>
  <c r="AH7"/>
  <c r="BX7" s="1"/>
  <c r="AG7"/>
  <c r="BW7" s="1"/>
  <c r="AF7"/>
  <c r="BU7" s="1"/>
  <c r="AE7"/>
  <c r="BT7" s="1"/>
  <c r="AD7"/>
  <c r="BR7" s="1"/>
  <c r="AC7"/>
  <c r="BQ7" s="1"/>
  <c r="AB7"/>
  <c r="BO7" s="1"/>
  <c r="AA7"/>
  <c r="BN7" s="1"/>
  <c r="Z7"/>
  <c r="BL7" s="1"/>
  <c r="Y7"/>
  <c r="BK7" s="1"/>
  <c r="X7"/>
  <c r="W7"/>
  <c r="V7"/>
  <c r="BF7" s="1"/>
  <c r="U7"/>
  <c r="T7"/>
  <c r="BC7" s="1"/>
  <c r="S7"/>
  <c r="R7"/>
  <c r="AZ7" s="1"/>
  <c r="Q7"/>
  <c r="P7"/>
  <c r="AW7" s="1"/>
  <c r="O7"/>
  <c r="AV7" s="1"/>
  <c r="N7"/>
  <c r="AT7" s="1"/>
  <c r="M7"/>
  <c r="AS7" s="1"/>
  <c r="L7"/>
  <c r="AQ7" s="1"/>
  <c r="K7"/>
  <c r="AP7" s="1"/>
  <c r="J7"/>
  <c r="AN7" s="1"/>
  <c r="I7"/>
  <c r="AM7" s="1"/>
  <c r="H7"/>
  <c r="F7" s="1"/>
  <c r="G7"/>
  <c r="E7" s="1"/>
  <c r="D7"/>
  <c r="C7"/>
  <c r="B7"/>
  <c r="AL7" s="1"/>
  <c r="A7"/>
  <c r="AK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K6" s="1"/>
  <c r="AP4"/>
  <c r="AS4" s="1"/>
  <c r="AV4" s="1"/>
  <c r="AY4" s="1"/>
  <c r="BB4" s="1"/>
  <c r="BE4" s="1"/>
  <c r="BH4" s="1"/>
  <c r="BK4" s="1"/>
  <c r="BN4" s="1"/>
  <c r="BQ4" s="1"/>
  <c r="BT4" s="1"/>
  <c r="BW4" s="1"/>
  <c r="I4"/>
  <c r="K4" s="1"/>
  <c r="M4" s="1"/>
  <c r="O4" s="1"/>
  <c r="Q4" s="1"/>
  <c r="S4" s="1"/>
  <c r="U4" s="1"/>
  <c r="W4" s="1"/>
  <c r="Y4" s="1"/>
  <c r="AA4" s="1"/>
  <c r="AC4" s="1"/>
  <c r="AE4" s="1"/>
  <c r="AG4" s="1"/>
  <c r="BY62" i="7"/>
  <c r="BV62"/>
  <c r="BS62"/>
  <c r="BP62"/>
  <c r="BM62"/>
  <c r="BJ62"/>
  <c r="BG62"/>
  <c r="BD62"/>
  <c r="BA62"/>
  <c r="AX62"/>
  <c r="AU62"/>
  <c r="AR62"/>
  <c r="AO62"/>
  <c r="D57"/>
  <c r="C57"/>
  <c r="BX56"/>
  <c r="BW56"/>
  <c r="AK56"/>
  <c r="F56"/>
  <c r="E56"/>
  <c r="BX55"/>
  <c r="BW55"/>
  <c r="BT55"/>
  <c r="AK55"/>
  <c r="E55"/>
  <c r="BX54"/>
  <c r="BW54"/>
  <c r="BT54"/>
  <c r="BQ54"/>
  <c r="AK54"/>
  <c r="E54"/>
  <c r="BX53"/>
  <c r="BW53"/>
  <c r="BT53"/>
  <c r="BQ53"/>
  <c r="BN53"/>
  <c r="AK53"/>
  <c r="E53"/>
  <c r="BX52"/>
  <c r="BW52"/>
  <c r="BU52"/>
  <c r="BT52"/>
  <c r="BQ52"/>
  <c r="BN52"/>
  <c r="BK52"/>
  <c r="AK52"/>
  <c r="E52"/>
  <c r="BX51"/>
  <c r="BW51"/>
  <c r="BT51"/>
  <c r="BQ51"/>
  <c r="BN51"/>
  <c r="BK51"/>
  <c r="BH51"/>
  <c r="AK51"/>
  <c r="E51"/>
  <c r="BX50"/>
  <c r="BW50"/>
  <c r="BT50"/>
  <c r="BQ50"/>
  <c r="BN50"/>
  <c r="BK50"/>
  <c r="BH50"/>
  <c r="BE50"/>
  <c r="AK50"/>
  <c r="E50"/>
  <c r="BX49"/>
  <c r="BW49"/>
  <c r="BT49"/>
  <c r="BQ49"/>
  <c r="BN49"/>
  <c r="BK49"/>
  <c r="BH49"/>
  <c r="BE49"/>
  <c r="BB49"/>
  <c r="AK49"/>
  <c r="E49"/>
  <c r="BX48"/>
  <c r="BW48"/>
  <c r="BT48"/>
  <c r="BQ48"/>
  <c r="BN48"/>
  <c r="BK48"/>
  <c r="BH48"/>
  <c r="BE48"/>
  <c r="BB48"/>
  <c r="AY48"/>
  <c r="AK48"/>
  <c r="E48"/>
  <c r="BX47"/>
  <c r="BW47"/>
  <c r="BT47"/>
  <c r="BQ47"/>
  <c r="BN47"/>
  <c r="BK47"/>
  <c r="BH47"/>
  <c r="BE47"/>
  <c r="BB47"/>
  <c r="AY47"/>
  <c r="AV47"/>
  <c r="AK47"/>
  <c r="E47"/>
  <c r="BW46"/>
  <c r="BT46"/>
  <c r="BQ46"/>
  <c r="BN46"/>
  <c r="BK46"/>
  <c r="BH46"/>
  <c r="BE46"/>
  <c r="BB46"/>
  <c r="AY46"/>
  <c r="AV46"/>
  <c r="AS46"/>
  <c r="AK46"/>
  <c r="E46"/>
  <c r="BW45"/>
  <c r="BT45"/>
  <c r="BQ45"/>
  <c r="BN45"/>
  <c r="BK45"/>
  <c r="BH45"/>
  <c r="BE45"/>
  <c r="BB45"/>
  <c r="AY45"/>
  <c r="AV45"/>
  <c r="AS45"/>
  <c r="AP45"/>
  <c r="AK45"/>
  <c r="E45"/>
  <c r="B45" i="8"/>
  <c r="BX43" i="7"/>
  <c r="BW43"/>
  <c r="BU43"/>
  <c r="BT43"/>
  <c r="BR43"/>
  <c r="BQ43"/>
  <c r="BO43"/>
  <c r="BN43"/>
  <c r="BL43"/>
  <c r="BK43"/>
  <c r="BI43"/>
  <c r="BH43"/>
  <c r="BF43"/>
  <c r="BE43"/>
  <c r="BC43"/>
  <c r="BB43"/>
  <c r="AZ43"/>
  <c r="AY43"/>
  <c r="AW43"/>
  <c r="AV43"/>
  <c r="AT43"/>
  <c r="AS43"/>
  <c r="AQ43"/>
  <c r="AP43"/>
  <c r="AN43"/>
  <c r="AM43"/>
  <c r="AK43"/>
  <c r="F43"/>
  <c r="E43"/>
  <c r="B43"/>
  <c r="B43" i="8" s="1"/>
  <c r="F42" i="7"/>
  <c r="E42"/>
  <c r="BX39"/>
  <c r="BW39"/>
  <c r="BU39"/>
  <c r="BT39"/>
  <c r="BR39"/>
  <c r="BQ39"/>
  <c r="BO39"/>
  <c r="BN39"/>
  <c r="BL39"/>
  <c r="BK39"/>
  <c r="BI39"/>
  <c r="BH39"/>
  <c r="BF39"/>
  <c r="BE39"/>
  <c r="BC39"/>
  <c r="BB39"/>
  <c r="AZ39"/>
  <c r="AY39"/>
  <c r="AW39"/>
  <c r="AV39"/>
  <c r="AT39"/>
  <c r="AS39"/>
  <c r="AQ39"/>
  <c r="AP39"/>
  <c r="AN39"/>
  <c r="AM39"/>
  <c r="AL39"/>
  <c r="AK39"/>
  <c r="F39"/>
  <c r="E39"/>
  <c r="BX38"/>
  <c r="BW38"/>
  <c r="BU38"/>
  <c r="BT38"/>
  <c r="BR38"/>
  <c r="BQ38"/>
  <c r="BO38"/>
  <c r="BN38"/>
  <c r="BL38"/>
  <c r="BK38"/>
  <c r="BI38"/>
  <c r="BH38"/>
  <c r="BF38"/>
  <c r="BE38"/>
  <c r="BC38"/>
  <c r="BB38"/>
  <c r="AZ38"/>
  <c r="AY38"/>
  <c r="AW38"/>
  <c r="AV38"/>
  <c r="AT38"/>
  <c r="AS38"/>
  <c r="AQ38"/>
  <c r="AP38"/>
  <c r="AN38"/>
  <c r="AM38"/>
  <c r="AL38"/>
  <c r="AK38"/>
  <c r="F38"/>
  <c r="E38"/>
  <c r="BX37"/>
  <c r="BW37"/>
  <c r="BU37"/>
  <c r="BT37"/>
  <c r="BR37"/>
  <c r="BQ37"/>
  <c r="BO37"/>
  <c r="BN37"/>
  <c r="BL37"/>
  <c r="BK37"/>
  <c r="BI37"/>
  <c r="BH37"/>
  <c r="BF37"/>
  <c r="BE37"/>
  <c r="BC37"/>
  <c r="BB37"/>
  <c r="AZ37"/>
  <c r="AY37"/>
  <c r="AW37"/>
  <c r="AV37"/>
  <c r="AT37"/>
  <c r="AQ37"/>
  <c r="AN37"/>
  <c r="AL37"/>
  <c r="AK37"/>
  <c r="M37"/>
  <c r="M37" i="8" s="1"/>
  <c r="K37" i="7"/>
  <c r="K37" i="8" s="1"/>
  <c r="H30" i="3" s="1"/>
  <c r="F37" i="7"/>
  <c r="BX36"/>
  <c r="BW36"/>
  <c r="BY36" s="1"/>
  <c r="BU36"/>
  <c r="BT36"/>
  <c r="BV36" s="1"/>
  <c r="BR36"/>
  <c r="BQ36"/>
  <c r="BS36" s="1"/>
  <c r="BO36"/>
  <c r="BN36"/>
  <c r="BP36" s="1"/>
  <c r="BL36"/>
  <c r="BK36"/>
  <c r="BM36" s="1"/>
  <c r="BI36"/>
  <c r="BH36"/>
  <c r="BJ36" s="1"/>
  <c r="BF36"/>
  <c r="BE36"/>
  <c r="BG36" s="1"/>
  <c r="BC36"/>
  <c r="BB36"/>
  <c r="BD36" s="1"/>
  <c r="AZ36"/>
  <c r="AY36"/>
  <c r="BA36" s="1"/>
  <c r="AW36"/>
  <c r="AV36"/>
  <c r="AX36" s="1"/>
  <c r="AT36"/>
  <c r="AS36"/>
  <c r="AU36" s="1"/>
  <c r="AQ36"/>
  <c r="AP36"/>
  <c r="AR36" s="1"/>
  <c r="AN36"/>
  <c r="AM36"/>
  <c r="AO36" s="1"/>
  <c r="AK36"/>
  <c r="F36"/>
  <c r="E36"/>
  <c r="BX35"/>
  <c r="BW35"/>
  <c r="BU35"/>
  <c r="BT35"/>
  <c r="BR35"/>
  <c r="BQ35"/>
  <c r="BO35"/>
  <c r="BN35"/>
  <c r="BL35"/>
  <c r="BK35"/>
  <c r="BI35"/>
  <c r="BH35"/>
  <c r="BF35"/>
  <c r="BE35"/>
  <c r="BC35"/>
  <c r="BB35"/>
  <c r="AZ35"/>
  <c r="AY35"/>
  <c r="AW35"/>
  <c r="AV35"/>
  <c r="AT35"/>
  <c r="AS35"/>
  <c r="AQ35"/>
  <c r="AP35"/>
  <c r="AN35"/>
  <c r="AN57" s="1"/>
  <c r="AM35"/>
  <c r="AL35"/>
  <c r="AK35"/>
  <c r="F35"/>
  <c r="E35"/>
  <c r="G31"/>
  <c r="D30"/>
  <c r="C30"/>
  <c r="C31" s="1"/>
  <c r="BW27"/>
  <c r="BQ27"/>
  <c r="BQ30" s="1"/>
  <c r="BN27"/>
  <c r="BN30" s="1"/>
  <c r="BK27"/>
  <c r="BK30" s="1"/>
  <c r="BH27"/>
  <c r="BH30" s="1"/>
  <c r="BE27"/>
  <c r="BE30" s="1"/>
  <c r="BB27"/>
  <c r="BB30" s="1"/>
  <c r="AY27"/>
  <c r="AY30" s="1"/>
  <c r="AV27"/>
  <c r="AV30" s="1"/>
  <c r="AS27"/>
  <c r="AS30" s="1"/>
  <c r="AP27"/>
  <c r="AK27"/>
  <c r="E27"/>
  <c r="BX26"/>
  <c r="BW26"/>
  <c r="BY26" s="1"/>
  <c r="BU26"/>
  <c r="BT26"/>
  <c r="BV26" s="1"/>
  <c r="BR26"/>
  <c r="BQ26"/>
  <c r="BS26" s="1"/>
  <c r="BO26"/>
  <c r="BN26"/>
  <c r="BP26" s="1"/>
  <c r="BL26"/>
  <c r="BK26"/>
  <c r="BM26" s="1"/>
  <c r="BI26"/>
  <c r="BH26"/>
  <c r="BJ26" s="1"/>
  <c r="BF26"/>
  <c r="BE26"/>
  <c r="BG26" s="1"/>
  <c r="BC26"/>
  <c r="BB26"/>
  <c r="BD26" s="1"/>
  <c r="AZ26"/>
  <c r="AY26"/>
  <c r="BA26" s="1"/>
  <c r="AW26"/>
  <c r="AV26"/>
  <c r="AX26" s="1"/>
  <c r="AT26"/>
  <c r="AS26"/>
  <c r="AU26" s="1"/>
  <c r="AQ26"/>
  <c r="AP26"/>
  <c r="AR26" s="1"/>
  <c r="AK26"/>
  <c r="F26"/>
  <c r="E26"/>
  <c r="BX25"/>
  <c r="BW25"/>
  <c r="BY25" s="1"/>
  <c r="BU25"/>
  <c r="BT25"/>
  <c r="BV25" s="1"/>
  <c r="BR25"/>
  <c r="BQ25"/>
  <c r="BS25" s="1"/>
  <c r="BO25"/>
  <c r="BN25"/>
  <c r="BP25" s="1"/>
  <c r="BL25"/>
  <c r="BK25"/>
  <c r="BM25" s="1"/>
  <c r="BI25"/>
  <c r="BH25"/>
  <c r="BJ25" s="1"/>
  <c r="BF25"/>
  <c r="BE25"/>
  <c r="BG25" s="1"/>
  <c r="BC25"/>
  <c r="BB25"/>
  <c r="BD25" s="1"/>
  <c r="AZ25"/>
  <c r="AY25"/>
  <c r="BA25" s="1"/>
  <c r="AW25"/>
  <c r="AV25"/>
  <c r="AX25" s="1"/>
  <c r="AT25"/>
  <c r="AS25"/>
  <c r="AU25" s="1"/>
  <c r="AQ25"/>
  <c r="AP25"/>
  <c r="AR25" s="1"/>
  <c r="AK25"/>
  <c r="F25"/>
  <c r="E25"/>
  <c r="BX24"/>
  <c r="BW24"/>
  <c r="BY24" s="1"/>
  <c r="BU24"/>
  <c r="BT24"/>
  <c r="BV24" s="1"/>
  <c r="BR24"/>
  <c r="BQ24"/>
  <c r="BS24" s="1"/>
  <c r="BO24"/>
  <c r="BN24"/>
  <c r="BP24" s="1"/>
  <c r="BL24"/>
  <c r="BK24"/>
  <c r="BM24" s="1"/>
  <c r="BI24"/>
  <c r="BH24"/>
  <c r="BJ24" s="1"/>
  <c r="BF24"/>
  <c r="BE24"/>
  <c r="BG24" s="1"/>
  <c r="BC24"/>
  <c r="BB24"/>
  <c r="BD24" s="1"/>
  <c r="AZ24"/>
  <c r="AY24"/>
  <c r="BA24" s="1"/>
  <c r="AW24"/>
  <c r="AV24"/>
  <c r="AX24" s="1"/>
  <c r="AT24"/>
  <c r="AS24"/>
  <c r="AU24" s="1"/>
  <c r="AQ24"/>
  <c r="AP24"/>
  <c r="AR24" s="1"/>
  <c r="AN24"/>
  <c r="AM24"/>
  <c r="AO24" s="1"/>
  <c r="AL24"/>
  <c r="AK24"/>
  <c r="F24"/>
  <c r="E24"/>
  <c r="BX23"/>
  <c r="BW23"/>
  <c r="BY23" s="1"/>
  <c r="BU23"/>
  <c r="BT23"/>
  <c r="BV23" s="1"/>
  <c r="BR23"/>
  <c r="BQ23"/>
  <c r="BS23" s="1"/>
  <c r="BO23"/>
  <c r="BN23"/>
  <c r="BP23" s="1"/>
  <c r="BL23"/>
  <c r="BK23"/>
  <c r="BM23" s="1"/>
  <c r="BI23"/>
  <c r="BH23"/>
  <c r="BJ23" s="1"/>
  <c r="BF23"/>
  <c r="BE23"/>
  <c r="BG23" s="1"/>
  <c r="BC23"/>
  <c r="BB23"/>
  <c r="BD23" s="1"/>
  <c r="AZ23"/>
  <c r="AY23"/>
  <c r="BA23" s="1"/>
  <c r="AW23"/>
  <c r="AV23"/>
  <c r="AX23" s="1"/>
  <c r="AT23"/>
  <c r="AS23"/>
  <c r="AU23" s="1"/>
  <c r="AQ23"/>
  <c r="AP23"/>
  <c r="AR23" s="1"/>
  <c r="AN23"/>
  <c r="AM23"/>
  <c r="AO23" s="1"/>
  <c r="AL23"/>
  <c r="AK23"/>
  <c r="F23"/>
  <c r="E23"/>
  <c r="BX22"/>
  <c r="BW22"/>
  <c r="BY22" s="1"/>
  <c r="BU22"/>
  <c r="BT22"/>
  <c r="BV22" s="1"/>
  <c r="BR22"/>
  <c r="BQ22"/>
  <c r="BS22" s="1"/>
  <c r="BO22"/>
  <c r="BN22"/>
  <c r="BP22" s="1"/>
  <c r="BL22"/>
  <c r="BK22"/>
  <c r="BM22" s="1"/>
  <c r="BI22"/>
  <c r="BH22"/>
  <c r="BJ22" s="1"/>
  <c r="BF22"/>
  <c r="BE22"/>
  <c r="BG22" s="1"/>
  <c r="BC22"/>
  <c r="BB22"/>
  <c r="BD22" s="1"/>
  <c r="AZ22"/>
  <c r="AY22"/>
  <c r="BA22" s="1"/>
  <c r="AW22"/>
  <c r="AV22"/>
  <c r="AX22" s="1"/>
  <c r="AT22"/>
  <c r="AS22"/>
  <c r="AU22" s="1"/>
  <c r="AQ22"/>
  <c r="AP22"/>
  <c r="AR22" s="1"/>
  <c r="AN22"/>
  <c r="AM22"/>
  <c r="AO22" s="1"/>
  <c r="AL22"/>
  <c r="AK22"/>
  <c r="F22"/>
  <c r="E22"/>
  <c r="BX21"/>
  <c r="BW21"/>
  <c r="BY21" s="1"/>
  <c r="BU21"/>
  <c r="BT21"/>
  <c r="BV21" s="1"/>
  <c r="BR21"/>
  <c r="BQ21"/>
  <c r="BS21" s="1"/>
  <c r="BO21"/>
  <c r="BN21"/>
  <c r="BP21" s="1"/>
  <c r="BL21"/>
  <c r="BK21"/>
  <c r="BM21" s="1"/>
  <c r="BI21"/>
  <c r="BH21"/>
  <c r="BJ21" s="1"/>
  <c r="BF21"/>
  <c r="BE21"/>
  <c r="BG21" s="1"/>
  <c r="BC21"/>
  <c r="BB21"/>
  <c r="BD21" s="1"/>
  <c r="AZ21"/>
  <c r="AY21"/>
  <c r="BA21" s="1"/>
  <c r="AW21"/>
  <c r="AV21"/>
  <c r="AX21" s="1"/>
  <c r="AT21"/>
  <c r="AS21"/>
  <c r="AU21" s="1"/>
  <c r="AQ21"/>
  <c r="AP21"/>
  <c r="AR21" s="1"/>
  <c r="AN21"/>
  <c r="AM21"/>
  <c r="AO21" s="1"/>
  <c r="AK21"/>
  <c r="F21"/>
  <c r="E21"/>
  <c r="B21"/>
  <c r="B21" i="8" s="1"/>
  <c r="AL21" s="1"/>
  <c r="BX20" i="7"/>
  <c r="BW20"/>
  <c r="BY20" s="1"/>
  <c r="BU20"/>
  <c r="BT20"/>
  <c r="BV20" s="1"/>
  <c r="BR20"/>
  <c r="BQ20"/>
  <c r="BS20" s="1"/>
  <c r="BO20"/>
  <c r="BN20"/>
  <c r="BP20" s="1"/>
  <c r="BL20"/>
  <c r="BK20"/>
  <c r="BM20" s="1"/>
  <c r="BI20"/>
  <c r="BH20"/>
  <c r="BJ20" s="1"/>
  <c r="BF20"/>
  <c r="BE20"/>
  <c r="BG20" s="1"/>
  <c r="BC20"/>
  <c r="BB20"/>
  <c r="BD20" s="1"/>
  <c r="AZ20"/>
  <c r="AY20"/>
  <c r="BA20" s="1"/>
  <c r="AW20"/>
  <c r="AV20"/>
  <c r="AX20" s="1"/>
  <c r="AT20"/>
  <c r="AS20"/>
  <c r="AU20" s="1"/>
  <c r="AQ20"/>
  <c r="AP20"/>
  <c r="AR20" s="1"/>
  <c r="AN20"/>
  <c r="AM20"/>
  <c r="AO20" s="1"/>
  <c r="AL20"/>
  <c r="AK20"/>
  <c r="F20"/>
  <c r="E20"/>
  <c r="BX19"/>
  <c r="BW19"/>
  <c r="BY19" s="1"/>
  <c r="BU19"/>
  <c r="BT19"/>
  <c r="BV19" s="1"/>
  <c r="BR19"/>
  <c r="BQ19"/>
  <c r="BS19" s="1"/>
  <c r="BO19"/>
  <c r="BN19"/>
  <c r="BP19" s="1"/>
  <c r="BL19"/>
  <c r="BK19"/>
  <c r="BM19" s="1"/>
  <c r="BI19"/>
  <c r="BH19"/>
  <c r="BJ19" s="1"/>
  <c r="BF19"/>
  <c r="BE19"/>
  <c r="BG19" s="1"/>
  <c r="BC19"/>
  <c r="BB19"/>
  <c r="BD19" s="1"/>
  <c r="AZ19"/>
  <c r="AY19"/>
  <c r="BA19" s="1"/>
  <c r="AW19"/>
  <c r="AV19"/>
  <c r="AX19" s="1"/>
  <c r="AT19"/>
  <c r="AS19"/>
  <c r="AU19" s="1"/>
  <c r="AQ19"/>
  <c r="AP19"/>
  <c r="AR19" s="1"/>
  <c r="AN19"/>
  <c r="AM19"/>
  <c r="AO19" s="1"/>
  <c r="AL19"/>
  <c r="AK19"/>
  <c r="F19"/>
  <c r="E19"/>
  <c r="BX18"/>
  <c r="BW18"/>
  <c r="BY18" s="1"/>
  <c r="BU18"/>
  <c r="BT18"/>
  <c r="BV18" s="1"/>
  <c r="BR18"/>
  <c r="BQ18"/>
  <c r="BS18" s="1"/>
  <c r="BO18"/>
  <c r="BN18"/>
  <c r="BP18" s="1"/>
  <c r="BL18"/>
  <c r="BK18"/>
  <c r="BM18" s="1"/>
  <c r="BI18"/>
  <c r="BH18"/>
  <c r="BJ18" s="1"/>
  <c r="BF18"/>
  <c r="BE18"/>
  <c r="BG18" s="1"/>
  <c r="BC18"/>
  <c r="BB18"/>
  <c r="BD18" s="1"/>
  <c r="AZ18"/>
  <c r="AY18"/>
  <c r="BA18" s="1"/>
  <c r="AW18"/>
  <c r="AV18"/>
  <c r="AX18" s="1"/>
  <c r="AT18"/>
  <c r="AS18"/>
  <c r="AU18" s="1"/>
  <c r="AQ18"/>
  <c r="AP18"/>
  <c r="AR18" s="1"/>
  <c r="AN18"/>
  <c r="AM18"/>
  <c r="AO18" s="1"/>
  <c r="AK18"/>
  <c r="F18"/>
  <c r="E18"/>
  <c r="B18"/>
  <c r="B18" i="8" s="1"/>
  <c r="AL18" s="1"/>
  <c r="BX17" i="7"/>
  <c r="BW17"/>
  <c r="BY17" s="1"/>
  <c r="BU17"/>
  <c r="BT17"/>
  <c r="BV17" s="1"/>
  <c r="BR17"/>
  <c r="BQ17"/>
  <c r="BS17" s="1"/>
  <c r="BO17"/>
  <c r="BN17"/>
  <c r="BP17" s="1"/>
  <c r="BL17"/>
  <c r="BK17"/>
  <c r="BM17" s="1"/>
  <c r="BI17"/>
  <c r="BH17"/>
  <c r="BJ17" s="1"/>
  <c r="BF17"/>
  <c r="BE17"/>
  <c r="BG17" s="1"/>
  <c r="BC17"/>
  <c r="BB17"/>
  <c r="BD17" s="1"/>
  <c r="AZ17"/>
  <c r="AY17"/>
  <c r="BA17" s="1"/>
  <c r="AW17"/>
  <c r="AV17"/>
  <c r="AX17" s="1"/>
  <c r="AT17"/>
  <c r="AS17"/>
  <c r="AU17" s="1"/>
  <c r="AQ17"/>
  <c r="AP17"/>
  <c r="AR17" s="1"/>
  <c r="AN17"/>
  <c r="AM17"/>
  <c r="AO17" s="1"/>
  <c r="AL17"/>
  <c r="AK17"/>
  <c r="F17"/>
  <c r="E17"/>
  <c r="BX16"/>
  <c r="BW16"/>
  <c r="BY16" s="1"/>
  <c r="BU16"/>
  <c r="BT16"/>
  <c r="BV16" s="1"/>
  <c r="BR16"/>
  <c r="BQ16"/>
  <c r="BS16" s="1"/>
  <c r="BO16"/>
  <c r="BN16"/>
  <c r="BP16" s="1"/>
  <c r="BL16"/>
  <c r="BK16"/>
  <c r="BM16" s="1"/>
  <c r="BI16"/>
  <c r="BH16"/>
  <c r="BJ16" s="1"/>
  <c r="BF16"/>
  <c r="BE16"/>
  <c r="BG16" s="1"/>
  <c r="BC16"/>
  <c r="BB16"/>
  <c r="BD16" s="1"/>
  <c r="AZ16"/>
  <c r="AY16"/>
  <c r="BA16" s="1"/>
  <c r="AW16"/>
  <c r="AV16"/>
  <c r="AX16" s="1"/>
  <c r="AT16"/>
  <c r="AS16"/>
  <c r="AU16" s="1"/>
  <c r="AQ16"/>
  <c r="AP16"/>
  <c r="AR16" s="1"/>
  <c r="AN16"/>
  <c r="AM16"/>
  <c r="AO16" s="1"/>
  <c r="AL16"/>
  <c r="AK16"/>
  <c r="F16"/>
  <c r="E16"/>
  <c r="BX15"/>
  <c r="BW15"/>
  <c r="BY15" s="1"/>
  <c r="BU15"/>
  <c r="BT15"/>
  <c r="BV15" s="1"/>
  <c r="BR15"/>
  <c r="BQ15"/>
  <c r="BS15" s="1"/>
  <c r="BO15"/>
  <c r="BN15"/>
  <c r="BP15" s="1"/>
  <c r="BL15"/>
  <c r="BK15"/>
  <c r="BM15" s="1"/>
  <c r="BI15"/>
  <c r="BH15"/>
  <c r="BJ15" s="1"/>
  <c r="BF15"/>
  <c r="BE15"/>
  <c r="BG15" s="1"/>
  <c r="BC15"/>
  <c r="BB15"/>
  <c r="BD15" s="1"/>
  <c r="AZ15"/>
  <c r="AY15"/>
  <c r="BA15" s="1"/>
  <c r="AW15"/>
  <c r="AV15"/>
  <c r="AX15" s="1"/>
  <c r="AT15"/>
  <c r="AS15"/>
  <c r="AU15" s="1"/>
  <c r="AQ15"/>
  <c r="AP15"/>
  <c r="AR15" s="1"/>
  <c r="AN15"/>
  <c r="AM15"/>
  <c r="AO15" s="1"/>
  <c r="AL15"/>
  <c r="AK15"/>
  <c r="F15"/>
  <c r="E15"/>
  <c r="BX14"/>
  <c r="BW14"/>
  <c r="BU14"/>
  <c r="BT14"/>
  <c r="BR14"/>
  <c r="BQ14"/>
  <c r="BO14"/>
  <c r="BN14"/>
  <c r="BL14"/>
  <c r="BK14"/>
  <c r="BI14"/>
  <c r="BH14"/>
  <c r="BF14"/>
  <c r="BE14"/>
  <c r="BC14"/>
  <c r="BB14"/>
  <c r="AZ14"/>
  <c r="AY14"/>
  <c r="AW14"/>
  <c r="AV14"/>
  <c r="AT14"/>
  <c r="AS14"/>
  <c r="AQ14"/>
  <c r="AP14"/>
  <c r="AP30" s="1"/>
  <c r="AN14"/>
  <c r="AM14"/>
  <c r="AL14"/>
  <c r="AK14"/>
  <c r="F14"/>
  <c r="E14"/>
  <c r="AH11"/>
  <c r="AG11"/>
  <c r="AG59" s="1"/>
  <c r="AF11"/>
  <c r="AE11"/>
  <c r="AE59" s="1"/>
  <c r="AD11"/>
  <c r="AC11"/>
  <c r="AC59" s="1"/>
  <c r="AB11"/>
  <c r="AA11"/>
  <c r="AA59" s="1"/>
  <c r="Z11"/>
  <c r="Y11"/>
  <c r="Y59" s="1"/>
  <c r="X11"/>
  <c r="W11"/>
  <c r="V11"/>
  <c r="U11"/>
  <c r="U59" s="1"/>
  <c r="T11"/>
  <c r="S11"/>
  <c r="R11"/>
  <c r="Q11"/>
  <c r="Q59" s="1"/>
  <c r="P11"/>
  <c r="O11"/>
  <c r="N11"/>
  <c r="M11"/>
  <c r="L11"/>
  <c r="K11"/>
  <c r="J11"/>
  <c r="I11"/>
  <c r="I59" s="1"/>
  <c r="H11"/>
  <c r="H59" s="1"/>
  <c r="G11"/>
  <c r="G59" s="1"/>
  <c r="D11"/>
  <c r="D59" s="1"/>
  <c r="C11"/>
  <c r="C59" s="1"/>
  <c r="BX10"/>
  <c r="BW10"/>
  <c r="BY10" s="1"/>
  <c r="BU10"/>
  <c r="BT10"/>
  <c r="BV10" s="1"/>
  <c r="BR10"/>
  <c r="BQ10"/>
  <c r="BS10" s="1"/>
  <c r="BO10"/>
  <c r="BN10"/>
  <c r="BP10" s="1"/>
  <c r="BL10"/>
  <c r="BK10"/>
  <c r="BM10" s="1"/>
  <c r="BI10"/>
  <c r="BH10"/>
  <c r="BJ10" s="1"/>
  <c r="BF10"/>
  <c r="BE10"/>
  <c r="BG10" s="1"/>
  <c r="BC10"/>
  <c r="BB10"/>
  <c r="BD10" s="1"/>
  <c r="AZ10"/>
  <c r="AY10"/>
  <c r="BA10" s="1"/>
  <c r="AW10"/>
  <c r="AV10"/>
  <c r="AX10" s="1"/>
  <c r="AT10"/>
  <c r="AS10"/>
  <c r="AU10" s="1"/>
  <c r="AQ10"/>
  <c r="AP10"/>
  <c r="AR10" s="1"/>
  <c r="AN10"/>
  <c r="AM10"/>
  <c r="AO10" s="1"/>
  <c r="AL10"/>
  <c r="AK10"/>
  <c r="F10"/>
  <c r="E10"/>
  <c r="BX9"/>
  <c r="BW9"/>
  <c r="BY9" s="1"/>
  <c r="BU9"/>
  <c r="BT9"/>
  <c r="BV9" s="1"/>
  <c r="BR9"/>
  <c r="BQ9"/>
  <c r="BS9" s="1"/>
  <c r="BO9"/>
  <c r="BN9"/>
  <c r="BP9" s="1"/>
  <c r="BL9"/>
  <c r="BK9"/>
  <c r="BM9" s="1"/>
  <c r="BI9"/>
  <c r="BH9"/>
  <c r="BJ9" s="1"/>
  <c r="BF9"/>
  <c r="BE9"/>
  <c r="BG9" s="1"/>
  <c r="BC9"/>
  <c r="BB9"/>
  <c r="BD9" s="1"/>
  <c r="AZ9"/>
  <c r="AY9"/>
  <c r="BA9" s="1"/>
  <c r="AW9"/>
  <c r="AV9"/>
  <c r="AX9" s="1"/>
  <c r="AT9"/>
  <c r="AS9"/>
  <c r="AU9" s="1"/>
  <c r="AQ9"/>
  <c r="AP9"/>
  <c r="AR9" s="1"/>
  <c r="AN9"/>
  <c r="AM9"/>
  <c r="AO9" s="1"/>
  <c r="AL9"/>
  <c r="AK9"/>
  <c r="F9"/>
  <c r="E9"/>
  <c r="BX8"/>
  <c r="BW8"/>
  <c r="BY8" s="1"/>
  <c r="BU8"/>
  <c r="BT8"/>
  <c r="BV8" s="1"/>
  <c r="BR8"/>
  <c r="BQ8"/>
  <c r="BS8" s="1"/>
  <c r="BO8"/>
  <c r="BN8"/>
  <c r="BP8" s="1"/>
  <c r="BL8"/>
  <c r="BK8"/>
  <c r="BM8" s="1"/>
  <c r="BI8"/>
  <c r="BH8"/>
  <c r="BJ8" s="1"/>
  <c r="BF8"/>
  <c r="BE8"/>
  <c r="BG8" s="1"/>
  <c r="BC8"/>
  <c r="BB8"/>
  <c r="BD8" s="1"/>
  <c r="AZ8"/>
  <c r="AY8"/>
  <c r="BA8" s="1"/>
  <c r="AW8"/>
  <c r="AV8"/>
  <c r="AX8" s="1"/>
  <c r="AT8"/>
  <c r="AS8"/>
  <c r="AU8" s="1"/>
  <c r="AQ8"/>
  <c r="AP8"/>
  <c r="AR8" s="1"/>
  <c r="AN8"/>
  <c r="AM8"/>
  <c r="AO8" s="1"/>
  <c r="AL8"/>
  <c r="AK8"/>
  <c r="F8"/>
  <c r="E8"/>
  <c r="BX7"/>
  <c r="BW7"/>
  <c r="BY7" s="1"/>
  <c r="BU7"/>
  <c r="BT7"/>
  <c r="BV7" s="1"/>
  <c r="BR7"/>
  <c r="BQ7"/>
  <c r="BS7" s="1"/>
  <c r="BO7"/>
  <c r="BN7"/>
  <c r="BP7" s="1"/>
  <c r="BL7"/>
  <c r="BK7"/>
  <c r="BM7" s="1"/>
  <c r="BI7"/>
  <c r="BH7"/>
  <c r="BJ7" s="1"/>
  <c r="BF7"/>
  <c r="BE7"/>
  <c r="BG7" s="1"/>
  <c r="BC7"/>
  <c r="BB7"/>
  <c r="BD7" s="1"/>
  <c r="AZ7"/>
  <c r="AY7"/>
  <c r="BA7" s="1"/>
  <c r="AW7"/>
  <c r="AV7"/>
  <c r="AX7" s="1"/>
  <c r="AT7"/>
  <c r="AS7"/>
  <c r="AU7" s="1"/>
  <c r="AQ7"/>
  <c r="AP7"/>
  <c r="AR7" s="1"/>
  <c r="AN7"/>
  <c r="AM7"/>
  <c r="AO7" s="1"/>
  <c r="AL7"/>
  <c r="AK7"/>
  <c r="F7"/>
  <c r="E7"/>
  <c r="BX6"/>
  <c r="BX11" s="1"/>
  <c r="BW6"/>
  <c r="BW11" s="1"/>
  <c r="BU6"/>
  <c r="BU11" s="1"/>
  <c r="BT6"/>
  <c r="BT11" s="1"/>
  <c r="BR6"/>
  <c r="BR11" s="1"/>
  <c r="BQ6"/>
  <c r="BQ11" s="1"/>
  <c r="BO6"/>
  <c r="BO11" s="1"/>
  <c r="BN6"/>
  <c r="BN11" s="1"/>
  <c r="BL6"/>
  <c r="BL11" s="1"/>
  <c r="BK6"/>
  <c r="BK11" s="1"/>
  <c r="BI6"/>
  <c r="BI11" s="1"/>
  <c r="BH6"/>
  <c r="BH11" s="1"/>
  <c r="BF6"/>
  <c r="BF11" s="1"/>
  <c r="BE6"/>
  <c r="BE11" s="1"/>
  <c r="BC6"/>
  <c r="BC11" s="1"/>
  <c r="BB6"/>
  <c r="BB11" s="1"/>
  <c r="AZ6"/>
  <c r="AZ11" s="1"/>
  <c r="AY6"/>
  <c r="AY11" s="1"/>
  <c r="AW6"/>
  <c r="AW11" s="1"/>
  <c r="AV6"/>
  <c r="AV11" s="1"/>
  <c r="AT6"/>
  <c r="AT11" s="1"/>
  <c r="AS6"/>
  <c r="AS11" s="1"/>
  <c r="AQ6"/>
  <c r="AQ11" s="1"/>
  <c r="AP6"/>
  <c r="AP11" s="1"/>
  <c r="AN6"/>
  <c r="AN11" s="1"/>
  <c r="AM6"/>
  <c r="AM11" s="1"/>
  <c r="AL6"/>
  <c r="AL11" s="1"/>
  <c r="AK6"/>
  <c r="F6"/>
  <c r="F11" s="1"/>
  <c r="E6"/>
  <c r="E11" s="1"/>
  <c r="AP4"/>
  <c r="AS4" s="1"/>
  <c r="AV4" s="1"/>
  <c r="AY4" s="1"/>
  <c r="BB4" s="1"/>
  <c r="BE4" s="1"/>
  <c r="BH4" s="1"/>
  <c r="BK4" s="1"/>
  <c r="BN4" s="1"/>
  <c r="BQ4" s="1"/>
  <c r="BT4" s="1"/>
  <c r="BW4" s="1"/>
  <c r="K4"/>
  <c r="M4" s="1"/>
  <c r="O4" s="1"/>
  <c r="Q4" s="1"/>
  <c r="S4" s="1"/>
  <c r="U4" s="1"/>
  <c r="W4" s="1"/>
  <c r="Y4" s="1"/>
  <c r="AA4" s="1"/>
  <c r="AC4" s="1"/>
  <c r="AE4" s="1"/>
  <c r="AG4" s="1"/>
  <c r="I4"/>
  <c r="BR10" i="8" l="1"/>
  <c r="AZ8"/>
  <c r="BC8"/>
  <c r="BF8"/>
  <c r="BI8"/>
  <c r="BT18"/>
  <c r="Q13" i="2" s="1"/>
  <c r="R13" i="3"/>
  <c r="BT19" i="8"/>
  <c r="Q14" i="2" s="1"/>
  <c r="R14" i="3"/>
  <c r="BT20" i="8"/>
  <c r="Q15" i="2" s="1"/>
  <c r="R15" i="3"/>
  <c r="AE58" i="8"/>
  <c r="AC16" i="20" s="1"/>
  <c r="AC12" s="1"/>
  <c r="AC17" s="1"/>
  <c r="R36" i="3"/>
  <c r="BI7" i="8"/>
  <c r="F8"/>
  <c r="AN8"/>
  <c r="AQ8"/>
  <c r="F37"/>
  <c r="AN37"/>
  <c r="K58"/>
  <c r="I16" i="20" s="1"/>
  <c r="I12" s="1"/>
  <c r="I17" s="1"/>
  <c r="O58" i="8"/>
  <c r="M16" i="20" s="1"/>
  <c r="M12" s="1"/>
  <c r="M17" s="1"/>
  <c r="S58" i="8"/>
  <c r="Q16" i="20" s="1"/>
  <c r="Q12" s="1"/>
  <c r="Q17" s="1"/>
  <c r="W58" i="8"/>
  <c r="U16" i="20" s="1"/>
  <c r="U12" s="1"/>
  <c r="U17" s="1"/>
  <c r="BT48" i="8"/>
  <c r="BT49"/>
  <c r="BT54"/>
  <c r="E55"/>
  <c r="BQ55"/>
  <c r="BT55"/>
  <c r="AW28" i="7"/>
  <c r="AX28" s="1"/>
  <c r="BI28"/>
  <c r="BJ28" s="1"/>
  <c r="BO28"/>
  <c r="BP28" s="1"/>
  <c r="BF29"/>
  <c r="BG29" s="1"/>
  <c r="BI29"/>
  <c r="BJ29" s="1"/>
  <c r="BL29"/>
  <c r="BM29" s="1"/>
  <c r="BC29"/>
  <c r="BD29" s="1"/>
  <c r="BT15" i="8"/>
  <c r="Q10" i="2" s="1"/>
  <c r="R10" i="3"/>
  <c r="BT16" i="8"/>
  <c r="Q11" i="2" s="1"/>
  <c r="R11" i="3"/>
  <c r="BT17" i="8"/>
  <c r="Q12" i="2" s="1"/>
  <c r="R12" i="3"/>
  <c r="BT21" i="8"/>
  <c r="Q16" i="2" s="1"/>
  <c r="R16" i="3"/>
  <c r="BT22" i="8"/>
  <c r="Q17" i="2" s="1"/>
  <c r="R17" i="3"/>
  <c r="BT23" i="8"/>
  <c r="Q18" i="2" s="1"/>
  <c r="R18" i="3"/>
  <c r="BT24" i="8"/>
  <c r="Q19" i="2" s="1"/>
  <c r="R19" i="3"/>
  <c r="AE41" i="8"/>
  <c r="R28" i="3"/>
  <c r="BT36" i="8"/>
  <c r="Q31" i="2" s="1"/>
  <c r="R29" i="3"/>
  <c r="BT37" i="8"/>
  <c r="Q32" i="2" s="1"/>
  <c r="R30" i="3"/>
  <c r="BT38" i="8"/>
  <c r="Q33" i="2" s="1"/>
  <c r="R31" i="3"/>
  <c r="BT39" i="8"/>
  <c r="Q34" i="2" s="1"/>
  <c r="R32" i="3"/>
  <c r="AH28" i="8"/>
  <c r="BU28" s="1"/>
  <c r="BV28" s="1"/>
  <c r="BX28" i="7"/>
  <c r="F29"/>
  <c r="BX29"/>
  <c r="BY29" s="1"/>
  <c r="R8" i="3"/>
  <c r="BR29" i="7"/>
  <c r="BS29" s="1"/>
  <c r="BF28"/>
  <c r="BG28" s="1"/>
  <c r="AW29"/>
  <c r="AX29" s="1"/>
  <c r="AZ28"/>
  <c r="BA28" s="1"/>
  <c r="BR28"/>
  <c r="BS28" s="1"/>
  <c r="AZ29"/>
  <c r="BA29" s="1"/>
  <c r="BC28"/>
  <c r="BD28" s="1"/>
  <c r="AT28"/>
  <c r="AU28" s="1"/>
  <c r="BO29"/>
  <c r="BP29" s="1"/>
  <c r="BU28"/>
  <c r="AA58" i="8"/>
  <c r="Y16" i="20" s="1"/>
  <c r="Y12" s="1"/>
  <c r="Y17" s="1"/>
  <c r="AT28" i="8"/>
  <c r="AU28" s="1"/>
  <c r="BI28"/>
  <c r="BJ28" s="1"/>
  <c r="F28"/>
  <c r="BX28"/>
  <c r="BY28" s="1"/>
  <c r="BL28"/>
  <c r="BM28" s="1"/>
  <c r="BF28"/>
  <c r="BG28" s="1"/>
  <c r="BR28"/>
  <c r="BS28" s="1"/>
  <c r="AW28"/>
  <c r="AX28" s="1"/>
  <c r="AZ28"/>
  <c r="BA28" s="1"/>
  <c r="E45"/>
  <c r="F28" i="7"/>
  <c r="AH30"/>
  <c r="AH29" i="8"/>
  <c r="BX29" s="1"/>
  <c r="BY29" s="1"/>
  <c r="AW14"/>
  <c r="BF16"/>
  <c r="BI16"/>
  <c r="BL16"/>
  <c r="BO16"/>
  <c r="Y171" i="23"/>
  <c r="T172"/>
  <c r="Y171" i="22"/>
  <c r="T172"/>
  <c r="S59" i="7"/>
  <c r="W59"/>
  <c r="AS32"/>
  <c r="O59"/>
  <c r="F14" i="8"/>
  <c r="AQ14"/>
  <c r="F10" i="20"/>
  <c r="J10"/>
  <c r="P10"/>
  <c r="R10"/>
  <c r="T10"/>
  <c r="V10"/>
  <c r="X10"/>
  <c r="Z10"/>
  <c r="AB10"/>
  <c r="AD10"/>
  <c r="F43" i="8"/>
  <c r="F22" i="20"/>
  <c r="F18" s="1"/>
  <c r="F23" s="1"/>
  <c r="H58" i="8"/>
  <c r="H60" s="1"/>
  <c r="AN43"/>
  <c r="H22" i="20"/>
  <c r="H18" s="1"/>
  <c r="H23" s="1"/>
  <c r="AQ43" i="8"/>
  <c r="J22" i="20"/>
  <c r="J18" s="1"/>
  <c r="J23" s="1"/>
  <c r="AT43" i="8"/>
  <c r="L22" i="20"/>
  <c r="L18" s="1"/>
  <c r="L23" s="1"/>
  <c r="AW43" i="8"/>
  <c r="N22" i="20"/>
  <c r="N18" s="1"/>
  <c r="N23" s="1"/>
  <c r="AZ43" i="8"/>
  <c r="P22" i="20"/>
  <c r="P18" s="1"/>
  <c r="P23" s="1"/>
  <c r="BC43" i="8"/>
  <c r="R22" i="20"/>
  <c r="R18" s="1"/>
  <c r="R23" s="1"/>
  <c r="BF43" i="8"/>
  <c r="T22" i="20"/>
  <c r="T18" s="1"/>
  <c r="T23" s="1"/>
  <c r="BI43" i="8"/>
  <c r="V22" i="20"/>
  <c r="V18" s="1"/>
  <c r="V23" s="1"/>
  <c r="BL43" i="8"/>
  <c r="X22" i="20"/>
  <c r="X18" s="1"/>
  <c r="X23" s="1"/>
  <c r="BO43" i="8"/>
  <c r="Z22" i="20"/>
  <c r="Z18" s="1"/>
  <c r="Z23" s="1"/>
  <c r="BR43" i="8"/>
  <c r="AB22" i="20"/>
  <c r="AB18" s="1"/>
  <c r="AB23" s="1"/>
  <c r="BU43" i="8"/>
  <c r="AD22" i="20"/>
  <c r="AD18" s="1"/>
  <c r="AD23" s="1"/>
  <c r="G36" i="3"/>
  <c r="I58" i="8"/>
  <c r="G16" i="20" s="1"/>
  <c r="G12" s="1"/>
  <c r="G17" s="1"/>
  <c r="BY47" i="7"/>
  <c r="BY51"/>
  <c r="AO7" i="8"/>
  <c r="AR7"/>
  <c r="AU7"/>
  <c r="BM7"/>
  <c r="BP7"/>
  <c r="BS7"/>
  <c r="BY7"/>
  <c r="AO8"/>
  <c r="AR8"/>
  <c r="AU8"/>
  <c r="BA8"/>
  <c r="BG8"/>
  <c r="BM8"/>
  <c r="BS8"/>
  <c r="BY8"/>
  <c r="I60"/>
  <c r="G10" i="20"/>
  <c r="O60" i="8"/>
  <c r="M10" i="20"/>
  <c r="O10"/>
  <c r="S60" i="8"/>
  <c r="Q10" i="20"/>
  <c r="S10"/>
  <c r="W60" i="8"/>
  <c r="U10" i="20"/>
  <c r="W10"/>
  <c r="AA60" i="8"/>
  <c r="Y10" i="20"/>
  <c r="AA10"/>
  <c r="AE60" i="8"/>
  <c r="AC10" i="20"/>
  <c r="BT43" i="8"/>
  <c r="AC22" i="20"/>
  <c r="AC18" s="1"/>
  <c r="AC23" s="1"/>
  <c r="BW45" i="8"/>
  <c r="R38" i="2" s="1"/>
  <c r="AG58" i="8"/>
  <c r="AG60" s="1"/>
  <c r="J58"/>
  <c r="H16" i="20" s="1"/>
  <c r="H12" s="1"/>
  <c r="H17" s="1"/>
  <c r="M58" i="8"/>
  <c r="K16" i="20" s="1"/>
  <c r="K12" s="1"/>
  <c r="K17" s="1"/>
  <c r="Q58" i="8"/>
  <c r="O16" i="20" s="1"/>
  <c r="O12" s="1"/>
  <c r="O17" s="1"/>
  <c r="U58" i="8"/>
  <c r="S16" i="20" s="1"/>
  <c r="S12" s="1"/>
  <c r="S17" s="1"/>
  <c r="Y58" i="8"/>
  <c r="W16" i="20" s="1"/>
  <c r="W12" s="1"/>
  <c r="W17" s="1"/>
  <c r="AC58" i="8"/>
  <c r="AA16" i="20" s="1"/>
  <c r="AA12" s="1"/>
  <c r="AA17" s="1"/>
  <c r="G58" i="8"/>
  <c r="AT15"/>
  <c r="AW15"/>
  <c r="AZ15"/>
  <c r="BQ54"/>
  <c r="BY55"/>
  <c r="J41"/>
  <c r="N41"/>
  <c r="P41"/>
  <c r="BI14"/>
  <c r="AN15"/>
  <c r="BN45"/>
  <c r="BT45"/>
  <c r="BN46"/>
  <c r="BT46"/>
  <c r="AY47"/>
  <c r="BQ47"/>
  <c r="BQ50"/>
  <c r="F28" i="3"/>
  <c r="G41" i="8"/>
  <c r="I28" i="3"/>
  <c r="M41" i="8"/>
  <c r="K41"/>
  <c r="AT16"/>
  <c r="BS56"/>
  <c r="BV56"/>
  <c r="BY56"/>
  <c r="F15"/>
  <c r="F16"/>
  <c r="AN17"/>
  <c r="AQ17"/>
  <c r="BQ48"/>
  <c r="AV57" i="7"/>
  <c r="AV59" s="1"/>
  <c r="BB57"/>
  <c r="BB59" s="1"/>
  <c r="BT57"/>
  <c r="BY56"/>
  <c r="I58"/>
  <c r="F17" i="8"/>
  <c r="E18"/>
  <c r="F13" i="3"/>
  <c r="AM18" i="8"/>
  <c r="F13" i="2" s="1"/>
  <c r="G13" i="3"/>
  <c r="AP18" i="8"/>
  <c r="G13" i="2" s="1"/>
  <c r="H13" i="3"/>
  <c r="AS18" i="8"/>
  <c r="H13" i="2" s="1"/>
  <c r="I13" i="3"/>
  <c r="AV18" i="8"/>
  <c r="I13" i="2" s="1"/>
  <c r="J13" i="3"/>
  <c r="AY18" i="8"/>
  <c r="J13" i="2" s="1"/>
  <c r="K13" i="3"/>
  <c r="BB18" i="8"/>
  <c r="K13" i="2" s="1"/>
  <c r="L13" i="3"/>
  <c r="BE18" i="8"/>
  <c r="L13" i="2" s="1"/>
  <c r="M13" i="3"/>
  <c r="BH18" i="8"/>
  <c r="M13" i="2" s="1"/>
  <c r="N13" i="3"/>
  <c r="BK18" i="8"/>
  <c r="N13" i="2" s="1"/>
  <c r="O13" i="3"/>
  <c r="BN18" i="8"/>
  <c r="O13" i="2" s="1"/>
  <c r="P13" i="3"/>
  <c r="BQ18" i="8"/>
  <c r="P13" i="2" s="1"/>
  <c r="Q13" i="3"/>
  <c r="E19" i="8"/>
  <c r="F14" i="3"/>
  <c r="AM19" i="8"/>
  <c r="F14" i="2" s="1"/>
  <c r="G14" i="3"/>
  <c r="AP19" i="8"/>
  <c r="G14" i="2" s="1"/>
  <c r="H14" i="3"/>
  <c r="AS19" i="8"/>
  <c r="H14" i="2" s="1"/>
  <c r="I14" i="3"/>
  <c r="AV19" i="8"/>
  <c r="I14" i="2" s="1"/>
  <c r="J14" i="3"/>
  <c r="AY19" i="8"/>
  <c r="J14" i="2" s="1"/>
  <c r="K14" i="3"/>
  <c r="BB19" i="8"/>
  <c r="K14" i="2" s="1"/>
  <c r="L14" i="3"/>
  <c r="BE19" i="8"/>
  <c r="L14" i="2" s="1"/>
  <c r="M14" i="3"/>
  <c r="BH19" i="8"/>
  <c r="M14" i="2" s="1"/>
  <c r="N14" i="3"/>
  <c r="BK19" i="8"/>
  <c r="N14" i="2" s="1"/>
  <c r="O14" i="3"/>
  <c r="BN19" i="8"/>
  <c r="O14" i="2" s="1"/>
  <c r="P14" i="3"/>
  <c r="BQ19" i="8"/>
  <c r="P14" i="2" s="1"/>
  <c r="Q14" i="3"/>
  <c r="E20" i="8"/>
  <c r="F15" i="3"/>
  <c r="AM20" i="8"/>
  <c r="F15" i="2" s="1"/>
  <c r="G15" i="3"/>
  <c r="AP20" i="8"/>
  <c r="G15" i="2" s="1"/>
  <c r="H15" i="3"/>
  <c r="AS20" i="8"/>
  <c r="H15" i="2" s="1"/>
  <c r="I15" i="3"/>
  <c r="AV20" i="8"/>
  <c r="I15" i="2" s="1"/>
  <c r="J15" i="3"/>
  <c r="AY20" i="8"/>
  <c r="J15" i="2" s="1"/>
  <c r="K15" i="3"/>
  <c r="BB20" i="8"/>
  <c r="K15" i="2" s="1"/>
  <c r="L15" i="3"/>
  <c r="BE20" i="8"/>
  <c r="L15" i="2" s="1"/>
  <c r="M15" i="3"/>
  <c r="BH20" i="8"/>
  <c r="M15" i="2" s="1"/>
  <c r="N15" i="3"/>
  <c r="BK20" i="8"/>
  <c r="N15" i="2" s="1"/>
  <c r="O15" i="3"/>
  <c r="BN20" i="8"/>
  <c r="O15" i="2" s="1"/>
  <c r="P15" i="3"/>
  <c r="BQ20" i="8"/>
  <c r="P15" i="2" s="1"/>
  <c r="Q15" i="3"/>
  <c r="F36"/>
  <c r="AP45" i="8"/>
  <c r="G38" i="2" s="1"/>
  <c r="H36" i="3"/>
  <c r="AV45" i="8"/>
  <c r="J36" i="3"/>
  <c r="BB45" i="8"/>
  <c r="L36" i="3"/>
  <c r="BH45" i="8"/>
  <c r="N36" i="3"/>
  <c r="AS37" i="8"/>
  <c r="I30" i="3"/>
  <c r="I30" i="8"/>
  <c r="G9" i="20" s="1"/>
  <c r="G9" i="3"/>
  <c r="K30" i="8"/>
  <c r="I9" i="20" s="1"/>
  <c r="H9" i="3"/>
  <c r="M30" i="8"/>
  <c r="K9" i="20" s="1"/>
  <c r="I9" i="3"/>
  <c r="O30" i="8"/>
  <c r="M9" i="20" s="1"/>
  <c r="J9" i="3"/>
  <c r="Q30" i="8"/>
  <c r="O9" i="20" s="1"/>
  <c r="K9" i="3"/>
  <c r="S30" i="8"/>
  <c r="Q9" i="20" s="1"/>
  <c r="L9" i="3"/>
  <c r="U30" i="8"/>
  <c r="S9" i="20" s="1"/>
  <c r="M9" i="3"/>
  <c r="W30" i="8"/>
  <c r="U9" i="20" s="1"/>
  <c r="N9" i="3"/>
  <c r="Y30" i="8"/>
  <c r="W9" i="20" s="1"/>
  <c r="O9" i="3"/>
  <c r="AA30" i="8"/>
  <c r="Y9" i="20" s="1"/>
  <c r="P9" i="3"/>
  <c r="AC30" i="8"/>
  <c r="AA9" i="20" s="1"/>
  <c r="Q9" i="3"/>
  <c r="E15" i="8"/>
  <c r="F10" i="3"/>
  <c r="AM15" i="8"/>
  <c r="G10" i="3"/>
  <c r="AP15" i="8"/>
  <c r="G10" i="2" s="1"/>
  <c r="H10" i="3"/>
  <c r="AS15" i="8"/>
  <c r="H10" i="2" s="1"/>
  <c r="I10" i="3"/>
  <c r="AV15" i="8"/>
  <c r="I10" i="2" s="1"/>
  <c r="J10" i="3"/>
  <c r="AY15" i="8"/>
  <c r="J10" i="2" s="1"/>
  <c r="K10" i="3"/>
  <c r="BB15" i="8"/>
  <c r="K10" i="2" s="1"/>
  <c r="L10" i="3"/>
  <c r="BE15" i="8"/>
  <c r="L10" i="2" s="1"/>
  <c r="M10" i="3"/>
  <c r="BH15" i="8"/>
  <c r="M10" i="2" s="1"/>
  <c r="N10" i="3"/>
  <c r="BK15" i="8"/>
  <c r="N10" i="2" s="1"/>
  <c r="O10" i="3"/>
  <c r="BN15" i="8"/>
  <c r="O10" i="2" s="1"/>
  <c r="P10" i="3"/>
  <c r="BQ15" i="8"/>
  <c r="P10" i="2" s="1"/>
  <c r="Q10" i="3"/>
  <c r="E16" i="8"/>
  <c r="F11" i="3"/>
  <c r="AM16" i="8"/>
  <c r="F11" i="2" s="1"/>
  <c r="G11" i="3"/>
  <c r="AP16" i="8"/>
  <c r="G11" i="2" s="1"/>
  <c r="H11" i="3"/>
  <c r="AS16" i="8"/>
  <c r="H11" i="2" s="1"/>
  <c r="I11" i="3"/>
  <c r="AV16" i="8"/>
  <c r="I11" i="2" s="1"/>
  <c r="J11" i="3"/>
  <c r="AY16" i="8"/>
  <c r="J11" i="2" s="1"/>
  <c r="K11" i="3"/>
  <c r="BB16" i="8"/>
  <c r="K11" i="2" s="1"/>
  <c r="L11" i="3"/>
  <c r="BE16" i="8"/>
  <c r="L11" i="2" s="1"/>
  <c r="M11" i="3"/>
  <c r="BH16" i="8"/>
  <c r="M11" i="2" s="1"/>
  <c r="N11" i="3"/>
  <c r="BK16" i="8"/>
  <c r="N11" i="2" s="1"/>
  <c r="O11" i="3"/>
  <c r="BN16" i="8"/>
  <c r="O11" i="2" s="1"/>
  <c r="P11" i="3"/>
  <c r="BQ16" i="8"/>
  <c r="P11" i="2" s="1"/>
  <c r="Q11" i="3"/>
  <c r="E17" i="8"/>
  <c r="F12" i="3"/>
  <c r="AM17" i="8"/>
  <c r="F12" i="2" s="1"/>
  <c r="G12" i="3"/>
  <c r="AP17" i="8"/>
  <c r="G12" i="2" s="1"/>
  <c r="H12" i="3"/>
  <c r="AS17" i="8"/>
  <c r="H12" i="2" s="1"/>
  <c r="I12" i="3"/>
  <c r="AV17" i="8"/>
  <c r="I12" i="2" s="1"/>
  <c r="J12" i="3"/>
  <c r="AY17" i="8"/>
  <c r="J12" i="2" s="1"/>
  <c r="K12" i="3"/>
  <c r="BB17" i="8"/>
  <c r="K12" i="2" s="1"/>
  <c r="L12" i="3"/>
  <c r="BE17" i="8"/>
  <c r="L12" i="2" s="1"/>
  <c r="M12" i="3"/>
  <c r="BH17" i="8"/>
  <c r="M12" i="2" s="1"/>
  <c r="N12" i="3"/>
  <c r="BK17" i="8"/>
  <c r="N12" i="2" s="1"/>
  <c r="O12" i="3"/>
  <c r="BN17" i="8"/>
  <c r="O12" i="2" s="1"/>
  <c r="P12" i="3"/>
  <c r="BQ17" i="8"/>
  <c r="P12" i="2" s="1"/>
  <c r="Q12" i="3"/>
  <c r="E21" i="8"/>
  <c r="F16" i="3"/>
  <c r="AM21" i="8"/>
  <c r="F16" i="2" s="1"/>
  <c r="G16" i="3"/>
  <c r="AP21" i="8"/>
  <c r="G16" i="2" s="1"/>
  <c r="H16" i="3"/>
  <c r="AS21" i="8"/>
  <c r="H16" i="2" s="1"/>
  <c r="I16" i="3"/>
  <c r="AV21" i="8"/>
  <c r="I16" i="2" s="1"/>
  <c r="J16" i="3"/>
  <c r="AY21" i="8"/>
  <c r="J16" i="2" s="1"/>
  <c r="K16" i="3"/>
  <c r="BB21" i="8"/>
  <c r="K16" i="2" s="1"/>
  <c r="L16" i="3"/>
  <c r="BE21" i="8"/>
  <c r="L16" i="2" s="1"/>
  <c r="M16" i="3"/>
  <c r="BH21" i="8"/>
  <c r="M16" i="2" s="1"/>
  <c r="N16" i="3"/>
  <c r="BK21" i="8"/>
  <c r="N16" i="2" s="1"/>
  <c r="O16" i="3"/>
  <c r="BN21" i="8"/>
  <c r="O16" i="2" s="1"/>
  <c r="P16" i="3"/>
  <c r="BQ21" i="8"/>
  <c r="P16" i="2" s="1"/>
  <c r="Q16" i="3"/>
  <c r="E22" i="8"/>
  <c r="F17" i="3"/>
  <c r="AM22" i="8"/>
  <c r="F17" i="2" s="1"/>
  <c r="G17" i="3"/>
  <c r="AP22" i="8"/>
  <c r="G17" i="2" s="1"/>
  <c r="H17" i="3"/>
  <c r="AS22" i="8"/>
  <c r="H17" i="2" s="1"/>
  <c r="I17" i="3"/>
  <c r="AV22" i="8"/>
  <c r="I17" i="2" s="1"/>
  <c r="J17" i="3"/>
  <c r="AY22" i="8"/>
  <c r="J17" i="2" s="1"/>
  <c r="K17" i="3"/>
  <c r="BB22" i="8"/>
  <c r="K17" i="2" s="1"/>
  <c r="L17" i="3"/>
  <c r="BE22" i="8"/>
  <c r="L17" i="2" s="1"/>
  <c r="M17" i="3"/>
  <c r="BH22" i="8"/>
  <c r="M17" i="2" s="1"/>
  <c r="N17" i="3"/>
  <c r="BK22" i="8"/>
  <c r="N17" i="2" s="1"/>
  <c r="O17" i="3"/>
  <c r="BN22" i="8"/>
  <c r="O17" i="2" s="1"/>
  <c r="P17" i="3"/>
  <c r="BQ22" i="8"/>
  <c r="P17" i="2" s="1"/>
  <c r="Q17" i="3"/>
  <c r="E23" i="8"/>
  <c r="F18" i="3"/>
  <c r="AM23" i="8"/>
  <c r="F18" i="2" s="1"/>
  <c r="G18" i="3"/>
  <c r="AP23" i="8"/>
  <c r="G18" i="2" s="1"/>
  <c r="H18" i="3"/>
  <c r="AS23" i="8"/>
  <c r="H18" i="2" s="1"/>
  <c r="I18" i="3"/>
  <c r="AV23" i="8"/>
  <c r="I18" i="2" s="1"/>
  <c r="J18" i="3"/>
  <c r="AY23" i="8"/>
  <c r="J18" i="2" s="1"/>
  <c r="K18" i="3"/>
  <c r="BB23" i="8"/>
  <c r="K18" i="2" s="1"/>
  <c r="L18" i="3"/>
  <c r="BE23" i="8"/>
  <c r="L18" i="2" s="1"/>
  <c r="M18" i="3"/>
  <c r="BH23" i="8"/>
  <c r="M18" i="2" s="1"/>
  <c r="N18" i="3"/>
  <c r="BK23" i="8"/>
  <c r="N18" i="2" s="1"/>
  <c r="O18" i="3"/>
  <c r="BN23" i="8"/>
  <c r="O18" i="2" s="1"/>
  <c r="P18" i="3"/>
  <c r="BQ23" i="8"/>
  <c r="P18" i="2" s="1"/>
  <c r="Q18" i="3"/>
  <c r="E24" i="8"/>
  <c r="F19" i="3"/>
  <c r="AM24" i="8"/>
  <c r="F19" i="2" s="1"/>
  <c r="G19" i="3"/>
  <c r="AP24" i="8"/>
  <c r="G19" i="2" s="1"/>
  <c r="H19" i="3"/>
  <c r="AS24" i="8"/>
  <c r="H19" i="2" s="1"/>
  <c r="I19" i="3"/>
  <c r="AV24" i="8"/>
  <c r="I19" i="2" s="1"/>
  <c r="J19" i="3"/>
  <c r="AY24" i="8"/>
  <c r="J19" i="2" s="1"/>
  <c r="K19" i="3"/>
  <c r="BB24" i="8"/>
  <c r="K19" i="2" s="1"/>
  <c r="L19" i="3"/>
  <c r="BE24" i="8"/>
  <c r="L19" i="2" s="1"/>
  <c r="M19" i="3"/>
  <c r="BH24" i="8"/>
  <c r="M19" i="2" s="1"/>
  <c r="N19" i="3"/>
  <c r="BK24" i="8"/>
  <c r="N19" i="2" s="1"/>
  <c r="O19" i="3"/>
  <c r="BN24" i="8"/>
  <c r="O19" i="2" s="1"/>
  <c r="P19" i="3"/>
  <c r="BQ24" i="8"/>
  <c r="P19" i="2" s="1"/>
  <c r="Q19" i="3"/>
  <c r="G28" i="20"/>
  <c r="G28" i="3"/>
  <c r="AP35" i="8"/>
  <c r="G30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6" i="8"/>
  <c r="F29" i="3"/>
  <c r="AM36" i="8"/>
  <c r="F31" i="2" s="1"/>
  <c r="G29" i="3"/>
  <c r="AP36" i="8"/>
  <c r="G31" i="2" s="1"/>
  <c r="H29" i="3"/>
  <c r="AS36" i="8"/>
  <c r="H31" i="2" s="1"/>
  <c r="I29" i="3"/>
  <c r="AV36" i="8"/>
  <c r="I31" i="2" s="1"/>
  <c r="J29" i="3"/>
  <c r="AY36" i="8"/>
  <c r="J31" i="2" s="1"/>
  <c r="K29" i="3"/>
  <c r="BB36" i="8"/>
  <c r="K31" i="2" s="1"/>
  <c r="L29" i="3"/>
  <c r="BE36" i="8"/>
  <c r="L31" i="2" s="1"/>
  <c r="M29" i="3"/>
  <c r="BH36" i="8"/>
  <c r="M31" i="2" s="1"/>
  <c r="N29" i="3"/>
  <c r="BK36" i="8"/>
  <c r="N31" i="2" s="1"/>
  <c r="O29" i="3"/>
  <c r="BN36" i="8"/>
  <c r="O31" i="2" s="1"/>
  <c r="P29" i="3"/>
  <c r="BQ36" i="8"/>
  <c r="P31" i="2" s="1"/>
  <c r="Q29" i="3"/>
  <c r="AV37" i="8"/>
  <c r="I32" i="2" s="1"/>
  <c r="J30" i="3"/>
  <c r="AY37" i="8"/>
  <c r="J32" i="2" s="1"/>
  <c r="K30" i="3"/>
  <c r="BB37" i="8"/>
  <c r="K32" i="2" s="1"/>
  <c r="L30" i="3"/>
  <c r="BE37" i="8"/>
  <c r="L32" i="2" s="1"/>
  <c r="M30" i="3"/>
  <c r="BH37" i="8"/>
  <c r="M32" i="2" s="1"/>
  <c r="N30" i="3"/>
  <c r="BK37" i="8"/>
  <c r="N32" i="2" s="1"/>
  <c r="O30" i="3"/>
  <c r="BN37" i="8"/>
  <c r="O32" i="2" s="1"/>
  <c r="P30" i="3"/>
  <c r="BQ37" i="8"/>
  <c r="P32" i="2" s="1"/>
  <c r="Q30" i="3"/>
  <c r="E38" i="8"/>
  <c r="F31" i="3"/>
  <c r="AM38" i="8"/>
  <c r="F33" i="2" s="1"/>
  <c r="G31" i="3"/>
  <c r="AP38" i="8"/>
  <c r="G33" i="2" s="1"/>
  <c r="H31" i="3"/>
  <c r="AS38" i="8"/>
  <c r="H33" i="2" s="1"/>
  <c r="I31" i="3"/>
  <c r="AV38" i="8"/>
  <c r="I33" i="2" s="1"/>
  <c r="J31" i="3"/>
  <c r="AY38" i="8"/>
  <c r="J33" i="2" s="1"/>
  <c r="K31" i="3"/>
  <c r="BB38" i="8"/>
  <c r="K33" i="2" s="1"/>
  <c r="L31" i="3"/>
  <c r="BE38" i="8"/>
  <c r="L33" i="2" s="1"/>
  <c r="M31" i="3"/>
  <c r="BH38" i="8"/>
  <c r="M33" i="2" s="1"/>
  <c r="N31" i="3"/>
  <c r="BK38" i="8"/>
  <c r="N33" i="2" s="1"/>
  <c r="O31" i="3"/>
  <c r="BN38" i="8"/>
  <c r="O33" i="2" s="1"/>
  <c r="P31" i="3"/>
  <c r="BQ38" i="8"/>
  <c r="P33" i="2" s="1"/>
  <c r="Q31" i="3"/>
  <c r="E39" i="8"/>
  <c r="F32" i="3"/>
  <c r="AM39" i="8"/>
  <c r="F34" i="2" s="1"/>
  <c r="G32" i="3"/>
  <c r="AP39" i="8"/>
  <c r="G34" i="2" s="1"/>
  <c r="H32" i="3"/>
  <c r="AS39" i="8"/>
  <c r="H34" i="2" s="1"/>
  <c r="I32" i="3"/>
  <c r="AV39" i="8"/>
  <c r="I34" i="2" s="1"/>
  <c r="J32" i="3"/>
  <c r="AY39" i="8"/>
  <c r="J34" i="2" s="1"/>
  <c r="K32" i="3"/>
  <c r="BB39" i="8"/>
  <c r="K34" i="2" s="1"/>
  <c r="L32" i="3"/>
  <c r="BE39" i="8"/>
  <c r="L34" i="2" s="1"/>
  <c r="M32" i="3"/>
  <c r="BH39" i="8"/>
  <c r="M34" i="2" s="1"/>
  <c r="N32" i="3"/>
  <c r="BK39" i="8"/>
  <c r="N34" i="2" s="1"/>
  <c r="O32" i="3"/>
  <c r="BN39" i="8"/>
  <c r="O34" i="2" s="1"/>
  <c r="P32" i="3"/>
  <c r="BQ39" i="8"/>
  <c r="P34" i="2" s="1"/>
  <c r="Q32" i="3"/>
  <c r="E43" i="8"/>
  <c r="F34" i="3"/>
  <c r="AM43" i="8"/>
  <c r="F36" i="2" s="1"/>
  <c r="G34" i="3"/>
  <c r="AP43" i="8"/>
  <c r="G36" i="2" s="1"/>
  <c r="H34" i="3"/>
  <c r="AS43" i="8"/>
  <c r="H36" i="2" s="1"/>
  <c r="I34" i="3"/>
  <c r="AV43" i="8"/>
  <c r="I36" i="2" s="1"/>
  <c r="J34" i="3"/>
  <c r="AY43" i="8"/>
  <c r="J36" i="2" s="1"/>
  <c r="K34" i="3"/>
  <c r="BB43" i="8"/>
  <c r="K36" i="2" s="1"/>
  <c r="L34" i="3"/>
  <c r="BE43" i="8"/>
  <c r="L36" i="2" s="1"/>
  <c r="M34" i="3"/>
  <c r="BH43" i="8"/>
  <c r="M36" i="2" s="1"/>
  <c r="N34" i="3"/>
  <c r="BK43" i="8"/>
  <c r="N36" i="2" s="1"/>
  <c r="O34" i="3"/>
  <c r="BN43" i="8"/>
  <c r="O36" i="2" s="1"/>
  <c r="P34" i="3"/>
  <c r="BQ43" i="8"/>
  <c r="P36" i="2" s="1"/>
  <c r="Q34" i="3"/>
  <c r="J59" i="7"/>
  <c r="J60" s="1"/>
  <c r="I31"/>
  <c r="BY50"/>
  <c r="C30" i="8"/>
  <c r="AE30"/>
  <c r="AC9" i="20" s="1"/>
  <c r="AG30" i="8"/>
  <c r="C60"/>
  <c r="C61" s="1"/>
  <c r="F27" i="3"/>
  <c r="AC28" i="20"/>
  <c r="I36" i="3"/>
  <c r="K36"/>
  <c r="M36"/>
  <c r="BY54" i="8"/>
  <c r="H60" i="7"/>
  <c r="D60"/>
  <c r="C58"/>
  <c r="BQ53" i="8"/>
  <c r="Q36" i="3"/>
  <c r="P36"/>
  <c r="O36"/>
  <c r="AY7" i="8"/>
  <c r="BA7" s="1"/>
  <c r="BB7"/>
  <c r="BD7" s="1"/>
  <c r="BE7"/>
  <c r="BG7" s="1"/>
  <c r="BH7"/>
  <c r="B11"/>
  <c r="D11"/>
  <c r="J11"/>
  <c r="L11"/>
  <c r="N11"/>
  <c r="P11"/>
  <c r="R11"/>
  <c r="T11"/>
  <c r="V11"/>
  <c r="X11"/>
  <c r="Z11"/>
  <c r="AB11"/>
  <c r="AD11"/>
  <c r="AF11"/>
  <c r="AH11"/>
  <c r="BQ51"/>
  <c r="E52"/>
  <c r="BQ52"/>
  <c r="AO35" i="7"/>
  <c r="AU35"/>
  <c r="BA35"/>
  <c r="BG35"/>
  <c r="BM35"/>
  <c r="BS35"/>
  <c r="BY35"/>
  <c r="AO18" i="8"/>
  <c r="AU18"/>
  <c r="BA18"/>
  <c r="BG18"/>
  <c r="BM18"/>
  <c r="BS18"/>
  <c r="BP19"/>
  <c r="AX37" i="7"/>
  <c r="BA37"/>
  <c r="BD37"/>
  <c r="BG37"/>
  <c r="BJ37"/>
  <c r="BM37"/>
  <c r="BP37"/>
  <c r="BS37"/>
  <c r="BV37"/>
  <c r="BY37"/>
  <c r="AO38"/>
  <c r="AR38"/>
  <c r="AU38"/>
  <c r="AX38"/>
  <c r="BA38"/>
  <c r="BD38"/>
  <c r="BG38"/>
  <c r="BJ38"/>
  <c r="BM38"/>
  <c r="BP38"/>
  <c r="BS38"/>
  <c r="BV38"/>
  <c r="BY38"/>
  <c r="AO39"/>
  <c r="AR39"/>
  <c r="AU39"/>
  <c r="AX39"/>
  <c r="BA39"/>
  <c r="BD39"/>
  <c r="BG39"/>
  <c r="BJ39"/>
  <c r="BM39"/>
  <c r="BP39"/>
  <c r="BS39"/>
  <c r="BV39"/>
  <c r="BY39"/>
  <c r="AO43"/>
  <c r="AR43"/>
  <c r="AU43"/>
  <c r="AX43"/>
  <c r="BA43"/>
  <c r="BD43"/>
  <c r="BG43"/>
  <c r="BJ43"/>
  <c r="BM43"/>
  <c r="BP43"/>
  <c r="BS43"/>
  <c r="BV43"/>
  <c r="BY43"/>
  <c r="BP8" i="8"/>
  <c r="BE47"/>
  <c r="BK47"/>
  <c r="BN48"/>
  <c r="E49"/>
  <c r="BN49"/>
  <c r="E50"/>
  <c r="BE50"/>
  <c r="BC6"/>
  <c r="BC11" s="1"/>
  <c r="BD8"/>
  <c r="C11"/>
  <c r="C32" s="1"/>
  <c r="I11"/>
  <c r="I62" s="1"/>
  <c r="M11"/>
  <c r="Q11"/>
  <c r="U11"/>
  <c r="Y11"/>
  <c r="AC11"/>
  <c r="AG11"/>
  <c r="AW6"/>
  <c r="BU6"/>
  <c r="BU11" s="1"/>
  <c r="AO9"/>
  <c r="AR9"/>
  <c r="AU9"/>
  <c r="BA9"/>
  <c r="BD9"/>
  <c r="BG9"/>
  <c r="BM9"/>
  <c r="BP9"/>
  <c r="BS9"/>
  <c r="BY9"/>
  <c r="AO10"/>
  <c r="AR10"/>
  <c r="AU10"/>
  <c r="BA10"/>
  <c r="BD10"/>
  <c r="BG10"/>
  <c r="BM10"/>
  <c r="BP10"/>
  <c r="BS10"/>
  <c r="BY10"/>
  <c r="BY51"/>
  <c r="BV52"/>
  <c r="BY52"/>
  <c r="AN16"/>
  <c r="AO16" s="1"/>
  <c r="AQ16"/>
  <c r="BV39"/>
  <c r="BV43"/>
  <c r="BY43"/>
  <c r="G11"/>
  <c r="E6"/>
  <c r="E11" s="1"/>
  <c r="F28" i="20"/>
  <c r="F35" i="8"/>
  <c r="AM6"/>
  <c r="AM11" s="1"/>
  <c r="AW11"/>
  <c r="BK6"/>
  <c r="BK11" s="1"/>
  <c r="AX8"/>
  <c r="BJ8"/>
  <c r="BV8"/>
  <c r="AX10"/>
  <c r="BJ10"/>
  <c r="BV10"/>
  <c r="AR19"/>
  <c r="AX19"/>
  <c r="BD19"/>
  <c r="BJ19"/>
  <c r="BV19"/>
  <c r="AS45"/>
  <c r="AY45"/>
  <c r="BE45"/>
  <c r="BK45"/>
  <c r="BQ45"/>
  <c r="E46"/>
  <c r="AS46"/>
  <c r="AY46"/>
  <c r="BE46"/>
  <c r="BK46"/>
  <c r="BQ46"/>
  <c r="E47"/>
  <c r="BN47"/>
  <c r="E48"/>
  <c r="BK48"/>
  <c r="BE49"/>
  <c r="BK49"/>
  <c r="BN50"/>
  <c r="E51"/>
  <c r="BH51"/>
  <c r="BN51"/>
  <c r="BN52"/>
  <c r="E53"/>
  <c r="H11"/>
  <c r="F6"/>
  <c r="F11" s="1"/>
  <c r="G30"/>
  <c r="E9" i="20" s="1"/>
  <c r="E26" s="1"/>
  <c r="E14" i="8"/>
  <c r="AO15"/>
  <c r="F10" i="2"/>
  <c r="E35" i="8"/>
  <c r="AQ6"/>
  <c r="AQ11" s="1"/>
  <c r="AY6"/>
  <c r="BI6"/>
  <c r="BI11" s="1"/>
  <c r="BO6"/>
  <c r="BO11" s="1"/>
  <c r="BW6"/>
  <c r="BW11" s="1"/>
  <c r="AU15"/>
  <c r="BA15"/>
  <c r="BG15"/>
  <c r="BM15"/>
  <c r="BS15"/>
  <c r="BY15"/>
  <c r="AU16"/>
  <c r="AX16"/>
  <c r="BA16"/>
  <c r="BD16"/>
  <c r="BG16"/>
  <c r="BJ16"/>
  <c r="BP16"/>
  <c r="BV16"/>
  <c r="AO21"/>
  <c r="AU21"/>
  <c r="BA21"/>
  <c r="BG21"/>
  <c r="BM21"/>
  <c r="BS21"/>
  <c r="BV21"/>
  <c r="BY21"/>
  <c r="BY22"/>
  <c r="BV23"/>
  <c r="BY23"/>
  <c r="BV24"/>
  <c r="BY24"/>
  <c r="AR25"/>
  <c r="AX25"/>
  <c r="BD25"/>
  <c r="BJ25"/>
  <c r="BP25"/>
  <c r="BS25"/>
  <c r="BV25"/>
  <c r="BY25"/>
  <c r="E37"/>
  <c r="AQ37"/>
  <c r="BV37"/>
  <c r="BY37"/>
  <c r="BV38"/>
  <c r="BY38"/>
  <c r="BN53"/>
  <c r="BK52"/>
  <c r="BH57" i="7"/>
  <c r="BH59" s="1"/>
  <c r="BN57"/>
  <c r="BN59" s="1"/>
  <c r="BK51" i="8"/>
  <c r="BK50"/>
  <c r="BH50"/>
  <c r="BB49"/>
  <c r="BH49"/>
  <c r="BB48"/>
  <c r="BH48"/>
  <c r="BE48"/>
  <c r="AY48"/>
  <c r="AV47"/>
  <c r="BB47"/>
  <c r="BH47"/>
  <c r="AV46"/>
  <c r="BB46"/>
  <c r="BH46"/>
  <c r="D123" i="13"/>
  <c r="D124" s="1"/>
  <c r="D122"/>
  <c r="D121"/>
  <c r="D120"/>
  <c r="D119"/>
  <c r="D118"/>
  <c r="D117"/>
  <c r="D116"/>
  <c r="D115"/>
  <c r="D114"/>
  <c r="D113"/>
  <c r="T124"/>
  <c r="Y135" s="1"/>
  <c r="AF49" i="7" s="1"/>
  <c r="BY49" i="8"/>
  <c r="BY47"/>
  <c r="BY48" i="7"/>
  <c r="BY49"/>
  <c r="BV52"/>
  <c r="BY52"/>
  <c r="BY53"/>
  <c r="BY54"/>
  <c r="BY55"/>
  <c r="BY48" i="8"/>
  <c r="BY50"/>
  <c r="BY53"/>
  <c r="G58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32" i="7"/>
  <c r="E12"/>
  <c r="AP32"/>
  <c r="AY32"/>
  <c r="BE32"/>
  <c r="BK32"/>
  <c r="BT59"/>
  <c r="BT32"/>
  <c r="AM32"/>
  <c r="AV32"/>
  <c r="BB32"/>
  <c r="BH32"/>
  <c r="BN32"/>
  <c r="BQ32"/>
  <c r="BW32"/>
  <c r="AP37" i="8"/>
  <c r="K11"/>
  <c r="AP6"/>
  <c r="O11"/>
  <c r="O62" s="1"/>
  <c r="AV6"/>
  <c r="S11"/>
  <c r="S62" s="1"/>
  <c r="BB6"/>
  <c r="W11"/>
  <c r="W62" s="1"/>
  <c r="BH6"/>
  <c r="AA11"/>
  <c r="AA62" s="1"/>
  <c r="BN6"/>
  <c r="AE11"/>
  <c r="BT6"/>
  <c r="AR6" i="7"/>
  <c r="AR11" s="1"/>
  <c r="AX6"/>
  <c r="AX11" s="1"/>
  <c r="BD6"/>
  <c r="BD11" s="1"/>
  <c r="BJ6"/>
  <c r="BJ11" s="1"/>
  <c r="BP6"/>
  <c r="BP11" s="1"/>
  <c r="BV6"/>
  <c r="BV11" s="1"/>
  <c r="C12"/>
  <c r="G12"/>
  <c r="K12"/>
  <c r="O12"/>
  <c r="S12"/>
  <c r="W12"/>
  <c r="AA12"/>
  <c r="AE12"/>
  <c r="AO14"/>
  <c r="AU14"/>
  <c r="BA14"/>
  <c r="BG14"/>
  <c r="BM14"/>
  <c r="BS14"/>
  <c r="BY14"/>
  <c r="AL18"/>
  <c r="AL21"/>
  <c r="D32"/>
  <c r="H32"/>
  <c r="J32"/>
  <c r="AR35"/>
  <c r="AX35"/>
  <c r="BD35"/>
  <c r="BJ35"/>
  <c r="BP35"/>
  <c r="BV35"/>
  <c r="E37"/>
  <c r="E57" s="1"/>
  <c r="AM37"/>
  <c r="AO37" s="1"/>
  <c r="AS37"/>
  <c r="AU37" s="1"/>
  <c r="AM57"/>
  <c r="AM59" s="1"/>
  <c r="AS57"/>
  <c r="AS59" s="1"/>
  <c r="AY57"/>
  <c r="AY59" s="1"/>
  <c r="BE57"/>
  <c r="BE59" s="1"/>
  <c r="BK57"/>
  <c r="BK59" s="1"/>
  <c r="BQ57"/>
  <c r="BQ59" s="1"/>
  <c r="BW57"/>
  <c r="BW59" s="1"/>
  <c r="AS6" i="8"/>
  <c r="BE6"/>
  <c r="BQ6"/>
  <c r="AX7"/>
  <c r="BJ7"/>
  <c r="BV7"/>
  <c r="AX9"/>
  <c r="BJ9"/>
  <c r="BV9"/>
  <c r="AX15"/>
  <c r="BJ15"/>
  <c r="BV15"/>
  <c r="AX17"/>
  <c r="BJ17"/>
  <c r="BV17"/>
  <c r="AX18"/>
  <c r="BJ18"/>
  <c r="BV18"/>
  <c r="AX20"/>
  <c r="BJ20"/>
  <c r="BV20"/>
  <c r="AR24"/>
  <c r="BD24"/>
  <c r="AO6" i="7"/>
  <c r="AO11" s="1"/>
  <c r="AU6"/>
  <c r="AU11" s="1"/>
  <c r="BA6"/>
  <c r="BA11" s="1"/>
  <c r="BG6"/>
  <c r="BG11" s="1"/>
  <c r="BM6"/>
  <c r="BM11" s="1"/>
  <c r="BS6"/>
  <c r="BS11" s="1"/>
  <c r="BY6"/>
  <c r="BY11" s="1"/>
  <c r="I12"/>
  <c r="M12"/>
  <c r="Q12"/>
  <c r="U12"/>
  <c r="Y12"/>
  <c r="AC12"/>
  <c r="AG12"/>
  <c r="AR14"/>
  <c r="AX14"/>
  <c r="BD14"/>
  <c r="BJ14"/>
  <c r="BP14"/>
  <c r="BV14"/>
  <c r="C32"/>
  <c r="C33" s="1"/>
  <c r="G32"/>
  <c r="G33" s="1"/>
  <c r="I32"/>
  <c r="I33" s="1"/>
  <c r="K32"/>
  <c r="M32"/>
  <c r="O32"/>
  <c r="Q32"/>
  <c r="S32"/>
  <c r="U32"/>
  <c r="W32"/>
  <c r="Y32"/>
  <c r="AA32"/>
  <c r="AC32"/>
  <c r="AE32"/>
  <c r="AG32"/>
  <c r="AP37"/>
  <c r="AR37" s="1"/>
  <c r="AR15" i="8"/>
  <c r="BM16"/>
  <c r="BS16"/>
  <c r="BY16"/>
  <c r="AO17"/>
  <c r="AU17"/>
  <c r="BA17"/>
  <c r="BG17"/>
  <c r="BM17"/>
  <c r="BS17"/>
  <c r="BY17"/>
  <c r="AR17"/>
  <c r="BD17"/>
  <c r="BP17"/>
  <c r="BY18"/>
  <c r="AR18"/>
  <c r="BD18"/>
  <c r="BP18"/>
  <c r="AO19"/>
  <c r="AU19"/>
  <c r="BA19"/>
  <c r="BG19"/>
  <c r="BM19"/>
  <c r="BS19"/>
  <c r="BY19"/>
  <c r="AO20"/>
  <c r="AU20"/>
  <c r="BA20"/>
  <c r="BG20"/>
  <c r="BM20"/>
  <c r="BS20"/>
  <c r="BY20"/>
  <c r="AR20"/>
  <c r="BD20"/>
  <c r="BP20"/>
  <c r="AX22"/>
  <c r="BJ22"/>
  <c r="BV22"/>
  <c r="AX24"/>
  <c r="BJ24"/>
  <c r="AL6"/>
  <c r="AL11" s="1"/>
  <c r="AN6"/>
  <c r="AN11" s="1"/>
  <c r="AT6"/>
  <c r="AT11" s="1"/>
  <c r="AZ6"/>
  <c r="AZ11" s="1"/>
  <c r="BF6"/>
  <c r="BF11" s="1"/>
  <c r="BL6"/>
  <c r="BL11" s="1"/>
  <c r="BR6"/>
  <c r="BR11" s="1"/>
  <c r="BX6"/>
  <c r="BX11" s="1"/>
  <c r="B30"/>
  <c r="D30"/>
  <c r="D32" s="1"/>
  <c r="H30"/>
  <c r="J30"/>
  <c r="AF30"/>
  <c r="AH30"/>
  <c r="AL14"/>
  <c r="AL30" s="1"/>
  <c r="AN14"/>
  <c r="AP14"/>
  <c r="G9" i="2" s="1"/>
  <c r="G8" s="1"/>
  <c r="AT14" i="8"/>
  <c r="AV14"/>
  <c r="I9" i="2" s="1"/>
  <c r="I8" s="1"/>
  <c r="AZ14" i="8"/>
  <c r="BB14"/>
  <c r="K9" i="2" s="1"/>
  <c r="K8" s="1"/>
  <c r="BF14" i="8"/>
  <c r="BH14"/>
  <c r="M9" i="2" s="1"/>
  <c r="M8" s="1"/>
  <c r="BL14" i="8"/>
  <c r="BN14"/>
  <c r="O9" i="2" s="1"/>
  <c r="O8" s="1"/>
  <c r="BR14" i="8"/>
  <c r="BT14"/>
  <c r="Q9" i="2" s="1"/>
  <c r="Q8" s="1"/>
  <c r="BX14" i="8"/>
  <c r="AO26"/>
  <c r="AR26"/>
  <c r="AU26"/>
  <c r="AX26"/>
  <c r="BA26"/>
  <c r="BD26"/>
  <c r="BG26"/>
  <c r="BJ26"/>
  <c r="BM26"/>
  <c r="BP26"/>
  <c r="BS26"/>
  <c r="BV26"/>
  <c r="BY26"/>
  <c r="AO36"/>
  <c r="AR36"/>
  <c r="AU36"/>
  <c r="AX36"/>
  <c r="BA36"/>
  <c r="BD36"/>
  <c r="BG36"/>
  <c r="BJ36"/>
  <c r="BM36"/>
  <c r="BP36"/>
  <c r="BS36"/>
  <c r="BV36"/>
  <c r="BY36"/>
  <c r="AM14"/>
  <c r="F9" i="2" s="1"/>
  <c r="F8" s="1"/>
  <c r="AS14" i="8"/>
  <c r="H9" i="2" s="1"/>
  <c r="H8" s="1"/>
  <c r="AY14" i="8"/>
  <c r="J9" i="2" s="1"/>
  <c r="J8" s="1"/>
  <c r="BE14" i="8"/>
  <c r="L9" i="2" s="1"/>
  <c r="L8" s="1"/>
  <c r="BK14" i="8"/>
  <c r="N9" i="2" s="1"/>
  <c r="N8" s="1"/>
  <c r="BQ14" i="8"/>
  <c r="P9" i="2" s="1"/>
  <c r="P8" s="1"/>
  <c r="BW14" i="8"/>
  <c r="R9" i="2" s="1"/>
  <c r="R8" s="1"/>
  <c r="AO25" i="8"/>
  <c r="AU25"/>
  <c r="BA25"/>
  <c r="BG25"/>
  <c r="BM25"/>
  <c r="AM37"/>
  <c r="AL35"/>
  <c r="AL60" s="1"/>
  <c r="AN35"/>
  <c r="AN60" s="1"/>
  <c r="AT35"/>
  <c r="AV35"/>
  <c r="I30" i="2" s="1"/>
  <c r="AZ35" i="8"/>
  <c r="BB35"/>
  <c r="K30" i="2" s="1"/>
  <c r="BF35" i="8"/>
  <c r="BH35"/>
  <c r="M30" i="2" s="1"/>
  <c r="BL35" i="8"/>
  <c r="BN35"/>
  <c r="O30" i="2" s="1"/>
  <c r="BR35" i="8"/>
  <c r="BT35"/>
  <c r="Q30" i="2" s="1"/>
  <c r="BX35" i="8"/>
  <c r="AU43"/>
  <c r="AM35"/>
  <c r="F30" i="2" s="1"/>
  <c r="AQ35" i="8"/>
  <c r="AS35"/>
  <c r="H30" i="2" s="1"/>
  <c r="AW35" i="8"/>
  <c r="AY35"/>
  <c r="J30" i="2" s="1"/>
  <c r="BC35" i="8"/>
  <c r="BE35"/>
  <c r="L30" i="2" s="1"/>
  <c r="BI35" i="8"/>
  <c r="BK35"/>
  <c r="N30" i="2" s="1"/>
  <c r="BO35" i="8"/>
  <c r="BQ35"/>
  <c r="P30" i="2" s="1"/>
  <c r="BU35" i="8"/>
  <c r="BW35"/>
  <c r="R30" i="2" s="1"/>
  <c r="AO39" i="8"/>
  <c r="AU39"/>
  <c r="BA39"/>
  <c r="BM39"/>
  <c r="BY39"/>
  <c r="BO28" l="1"/>
  <c r="BP28" s="1"/>
  <c r="BC28"/>
  <c r="BD28" s="1"/>
  <c r="F8" i="3"/>
  <c r="BU30" i="7"/>
  <c r="BV28"/>
  <c r="BV30" s="1"/>
  <c r="BY28"/>
  <c r="BY30" s="1"/>
  <c r="BX30"/>
  <c r="Q8" i="3"/>
  <c r="R60" i="1" s="1"/>
  <c r="P8" i="3"/>
  <c r="Q60" i="1" s="1"/>
  <c r="O8" i="3"/>
  <c r="P60" i="1" s="1"/>
  <c r="N8" i="3"/>
  <c r="O60" i="1" s="1"/>
  <c r="M8" i="3"/>
  <c r="N60" i="1" s="1"/>
  <c r="L8" i="3"/>
  <c r="M60" i="1" s="1"/>
  <c r="K8" i="3"/>
  <c r="L60" i="1" s="1"/>
  <c r="J8" i="3"/>
  <c r="K60" i="1" s="1"/>
  <c r="I8" i="3"/>
  <c r="J60" i="1" s="1"/>
  <c r="H8" i="3"/>
  <c r="I60" i="1" s="1"/>
  <c r="G8" i="3"/>
  <c r="H60" i="1" s="1"/>
  <c r="Q38" i="2"/>
  <c r="Y28" i="20"/>
  <c r="BU49" i="7"/>
  <c r="BV49" s="1"/>
  <c r="BR49"/>
  <c r="BS49" s="1"/>
  <c r="AF49" i="8"/>
  <c r="BC29"/>
  <c r="BD29" s="1"/>
  <c r="AZ29"/>
  <c r="BA29" s="1"/>
  <c r="BU29"/>
  <c r="BV29" s="1"/>
  <c r="BR29"/>
  <c r="BS29" s="1"/>
  <c r="BL29"/>
  <c r="BM29" s="1"/>
  <c r="BI29"/>
  <c r="BJ29" s="1"/>
  <c r="AW29"/>
  <c r="AX29" s="1"/>
  <c r="BF29"/>
  <c r="BG29" s="1"/>
  <c r="BO29"/>
  <c r="BP29" s="1"/>
  <c r="W28" i="20"/>
  <c r="F29" i="8"/>
  <c r="BS23"/>
  <c r="E60"/>
  <c r="BP21"/>
  <c r="BJ21"/>
  <c r="BD21"/>
  <c r="AX21"/>
  <c r="AR21"/>
  <c r="AR16"/>
  <c r="AG62"/>
  <c r="Y32"/>
  <c r="AC12"/>
  <c r="M12"/>
  <c r="K60"/>
  <c r="K62" s="1"/>
  <c r="I10" i="20"/>
  <c r="I28" s="1"/>
  <c r="N10"/>
  <c r="L10"/>
  <c r="J60" i="8"/>
  <c r="J62" s="1"/>
  <c r="H10" i="20"/>
  <c r="H28" s="1"/>
  <c r="AE62" i="8"/>
  <c r="H38" i="2"/>
  <c r="AC32" i="8"/>
  <c r="U32"/>
  <c r="M32"/>
  <c r="M60"/>
  <c r="M62" s="1"/>
  <c r="K10" i="20"/>
  <c r="G60" i="8"/>
  <c r="E10" i="20"/>
  <c r="E28" s="1"/>
  <c r="H62" i="8"/>
  <c r="AC60"/>
  <c r="AC62" s="1"/>
  <c r="Y60"/>
  <c r="Y62" s="1"/>
  <c r="U60"/>
  <c r="U62" s="1"/>
  <c r="Q60"/>
  <c r="Q62" s="1"/>
  <c r="BS43"/>
  <c r="BG43"/>
  <c r="AU23"/>
  <c r="BG22"/>
  <c r="BP37"/>
  <c r="AR43"/>
  <c r="I61"/>
  <c r="BG24"/>
  <c r="BG23"/>
  <c r="AO23"/>
  <c r="BS22"/>
  <c r="AU22"/>
  <c r="E12"/>
  <c r="U12"/>
  <c r="AP60"/>
  <c r="BG38"/>
  <c r="BD22"/>
  <c r="AL30" i="7"/>
  <c r="AG32" i="8"/>
  <c r="Q32"/>
  <c r="I32"/>
  <c r="BP43"/>
  <c r="BS38"/>
  <c r="AU38"/>
  <c r="BD37"/>
  <c r="BP24"/>
  <c r="AU24"/>
  <c r="BM23"/>
  <c r="BA23"/>
  <c r="G12"/>
  <c r="AX39"/>
  <c r="BP15"/>
  <c r="G31"/>
  <c r="AO57" i="7"/>
  <c r="I12" i="8"/>
  <c r="BA43"/>
  <c r="BD43"/>
  <c r="BS39"/>
  <c r="BM38"/>
  <c r="BA38"/>
  <c r="AO38"/>
  <c r="BJ37"/>
  <c r="AX37"/>
  <c r="AR39"/>
  <c r="C62"/>
  <c r="AG12"/>
  <c r="Y12"/>
  <c r="Q12"/>
  <c r="AH32"/>
  <c r="G32"/>
  <c r="C12"/>
  <c r="BM43"/>
  <c r="AO43"/>
  <c r="BJ43"/>
  <c r="AX43"/>
  <c r="M38" i="2"/>
  <c r="I38"/>
  <c r="BG39" i="8"/>
  <c r="BP38"/>
  <c r="BJ38"/>
  <c r="BD38"/>
  <c r="AX38"/>
  <c r="AR38"/>
  <c r="BS37"/>
  <c r="BM37"/>
  <c r="BG37"/>
  <c r="BA37"/>
  <c r="BS24"/>
  <c r="BM24"/>
  <c r="BA24"/>
  <c r="AO24"/>
  <c r="BP23"/>
  <c r="BJ23"/>
  <c r="BD23"/>
  <c r="AX23"/>
  <c r="AR23"/>
  <c r="BM22"/>
  <c r="BA22"/>
  <c r="AO22"/>
  <c r="E30"/>
  <c r="E32" s="1"/>
  <c r="BJ39"/>
  <c r="BP22"/>
  <c r="AR22"/>
  <c r="BD15"/>
  <c r="AF32"/>
  <c r="AD9" i="20"/>
  <c r="J32" i="8"/>
  <c r="H9" i="20"/>
  <c r="AR37" i="8"/>
  <c r="G32" i="2"/>
  <c r="AE31" i="8"/>
  <c r="G62"/>
  <c r="AY11"/>
  <c r="P38" i="2"/>
  <c r="BP39" i="8"/>
  <c r="BD39"/>
  <c r="K28" i="20"/>
  <c r="AO37" i="8"/>
  <c r="F32" i="2"/>
  <c r="H32" i="8"/>
  <c r="F9" i="20"/>
  <c r="G61" i="8"/>
  <c r="E6" i="20"/>
  <c r="E11" s="1"/>
  <c r="AC6"/>
  <c r="AC11" s="1"/>
  <c r="AC24" s="1"/>
  <c r="AC26"/>
  <c r="AA6"/>
  <c r="AA11" s="1"/>
  <c r="AA26"/>
  <c r="Y26"/>
  <c r="Y6"/>
  <c r="Y11" s="1"/>
  <c r="Y24" s="1"/>
  <c r="W6"/>
  <c r="W11" s="1"/>
  <c r="W26"/>
  <c r="U26"/>
  <c r="U6"/>
  <c r="U11" s="1"/>
  <c r="U24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I6"/>
  <c r="I11" s="1"/>
  <c r="G26"/>
  <c r="G6"/>
  <c r="G11" s="1"/>
  <c r="G24" s="1"/>
  <c r="AU37" i="8"/>
  <c r="H32" i="2"/>
  <c r="O38"/>
  <c r="N38"/>
  <c r="L38"/>
  <c r="J38"/>
  <c r="K38"/>
  <c r="C31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E59" i="7"/>
  <c r="BW60" i="8"/>
  <c r="BY35"/>
  <c r="BQ60"/>
  <c r="BS35"/>
  <c r="BK60"/>
  <c r="BM35"/>
  <c r="BE60"/>
  <c r="BG35"/>
  <c r="AY60"/>
  <c r="BA35"/>
  <c r="AS60"/>
  <c r="AU35"/>
  <c r="AM60"/>
  <c r="AO35"/>
  <c r="AO60" s="1"/>
  <c r="BT30"/>
  <c r="BV14"/>
  <c r="BN30"/>
  <c r="BP14"/>
  <c r="BH30"/>
  <c r="BJ14"/>
  <c r="BB30"/>
  <c r="BD14"/>
  <c r="AV30"/>
  <c r="AX14"/>
  <c r="AP30"/>
  <c r="AR14"/>
  <c r="AR30" s="1"/>
  <c r="BQ11"/>
  <c r="BS6"/>
  <c r="BS11" s="1"/>
  <c r="BE11"/>
  <c r="BG6"/>
  <c r="BG11" s="1"/>
  <c r="AS11"/>
  <c r="AU6"/>
  <c r="AU11" s="1"/>
  <c r="AE32"/>
  <c r="AE33" s="1"/>
  <c r="AE12"/>
  <c r="BN11"/>
  <c r="BP6"/>
  <c r="BP11" s="1"/>
  <c r="W32"/>
  <c r="W12"/>
  <c r="BB11"/>
  <c r="BD6"/>
  <c r="BD11" s="1"/>
  <c r="O32"/>
  <c r="O12"/>
  <c r="AP11"/>
  <c r="AR6"/>
  <c r="AR11" s="1"/>
  <c r="AG31"/>
  <c r="I31"/>
  <c r="AR35"/>
  <c r="F39" i="3"/>
  <c r="D62" i="8"/>
  <c r="D63" s="1"/>
  <c r="G33"/>
  <c r="E62"/>
  <c r="C33"/>
  <c r="AP57" i="7"/>
  <c r="AP59" s="1"/>
  <c r="K59"/>
  <c r="BT60" i="8"/>
  <c r="BV35"/>
  <c r="BN60"/>
  <c r="BP35"/>
  <c r="BH60"/>
  <c r="BJ35"/>
  <c r="BB60"/>
  <c r="BD35"/>
  <c r="AV60"/>
  <c r="AX35"/>
  <c r="BW30"/>
  <c r="BY14"/>
  <c r="BY30" s="1"/>
  <c r="BQ30"/>
  <c r="BS14"/>
  <c r="BK30"/>
  <c r="BM14"/>
  <c r="BE30"/>
  <c r="BG14"/>
  <c r="AY30"/>
  <c r="BA14"/>
  <c r="AS30"/>
  <c r="AU14"/>
  <c r="AM30"/>
  <c r="AO14"/>
  <c r="BT11"/>
  <c r="BV6"/>
  <c r="BV11" s="1"/>
  <c r="AA32"/>
  <c r="AA12"/>
  <c r="BH11"/>
  <c r="BJ6"/>
  <c r="BJ11" s="1"/>
  <c r="S32"/>
  <c r="S12"/>
  <c r="AV11"/>
  <c r="AX6"/>
  <c r="AX11" s="1"/>
  <c r="K32"/>
  <c r="K12"/>
  <c r="BY6"/>
  <c r="BY11" s="1"/>
  <c r="BM6"/>
  <c r="BM11" s="1"/>
  <c r="BA6"/>
  <c r="BA11" s="1"/>
  <c r="AO6"/>
  <c r="AO11" s="1"/>
  <c r="AG33"/>
  <c r="I33"/>
  <c r="H63"/>
  <c r="M59" i="7"/>
  <c r="BU49" i="8" l="1"/>
  <c r="BV49" s="1"/>
  <c r="BR49"/>
  <c r="BS49" s="1"/>
  <c r="AA24" i="20"/>
  <c r="BV30" i="8"/>
  <c r="BV32" s="1"/>
  <c r="BU30"/>
  <c r="BU32" s="1"/>
  <c r="AN30"/>
  <c r="BX30"/>
  <c r="BX32" s="1"/>
  <c r="I24" i="20"/>
  <c r="K24"/>
  <c r="E24"/>
  <c r="W24"/>
  <c r="O24"/>
  <c r="J63" i="8"/>
  <c r="G39" i="3"/>
  <c r="F6" i="20"/>
  <c r="F11" s="1"/>
  <c r="F24" s="1"/>
  <c r="F26"/>
  <c r="H26"/>
  <c r="H6"/>
  <c r="H11" s="1"/>
  <c r="H24" s="1"/>
  <c r="AD26"/>
  <c r="Y171" i="13"/>
  <c r="T172"/>
  <c r="BY32" i="8"/>
  <c r="AV62"/>
  <c r="AV32"/>
  <c r="BT62"/>
  <c r="BT32"/>
  <c r="BH62"/>
  <c r="BH32"/>
  <c r="AR32"/>
  <c r="BB62"/>
  <c r="BB32"/>
  <c r="AS62"/>
  <c r="AS32"/>
  <c r="BE62"/>
  <c r="BE32"/>
  <c r="BQ62"/>
  <c r="BQ32"/>
  <c r="AO30"/>
  <c r="AO32" s="1"/>
  <c r="AM32"/>
  <c r="AM62"/>
  <c r="AY32"/>
  <c r="AY62"/>
  <c r="BK32"/>
  <c r="BK62"/>
  <c r="BW32"/>
  <c r="BW62"/>
  <c r="AP62"/>
  <c r="AP32"/>
  <c r="BN62"/>
  <c r="BN32"/>
  <c r="AN62" i="7"/>
  <c r="AN32" i="8" l="1"/>
  <c r="AN62"/>
  <c r="AO62" s="1"/>
  <c r="AO63"/>
  <c r="U132" i="5" l="1"/>
  <c r="U130"/>
  <c r="N130"/>
  <c r="U128"/>
  <c r="U126"/>
  <c r="N126"/>
  <c r="T122"/>
  <c r="S122"/>
  <c r="V132" s="1"/>
  <c r="R122"/>
  <c r="V130" s="1"/>
  <c r="Q122"/>
  <c r="V128" s="1"/>
  <c r="I16" i="1"/>
  <c r="H19"/>
  <c r="G19"/>
  <c r="V126" i="5" l="1"/>
  <c r="U122"/>
  <c r="N122" s="1"/>
  <c r="L122" s="1"/>
  <c r="F53" i="3"/>
  <c r="Q27"/>
  <c r="P27"/>
  <c r="O27"/>
  <c r="N27"/>
  <c r="O61" i="1" s="1"/>
  <c r="M27" i="3"/>
  <c r="N61" i="1" s="1"/>
  <c r="L27" i="3"/>
  <c r="M61" i="1" s="1"/>
  <c r="K27" i="3"/>
  <c r="L61" i="1" s="1"/>
  <c r="J27" i="3"/>
  <c r="K61" i="1" s="1"/>
  <c r="I27" i="3"/>
  <c r="J61" i="1" s="1"/>
  <c r="H27" i="3"/>
  <c r="I61" i="1" s="1"/>
  <c r="G27" i="3"/>
  <c r="H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J37" l="1"/>
  <c r="L37"/>
  <c r="N37"/>
  <c r="P37"/>
  <c r="I37"/>
  <c r="K37"/>
  <c r="M37"/>
  <c r="O37"/>
  <c r="Q37"/>
  <c r="H37"/>
  <c r="G37"/>
  <c r="F37"/>
  <c r="P29" i="2" l="1"/>
  <c r="O29"/>
  <c r="N29"/>
  <c r="M29"/>
  <c r="L29"/>
  <c r="K29"/>
  <c r="J29"/>
  <c r="I29"/>
  <c r="H29"/>
  <c r="G29"/>
  <c r="F29"/>
  <c r="D29"/>
  <c r="P25"/>
  <c r="O25"/>
  <c r="N25"/>
  <c r="M25"/>
  <c r="L25"/>
  <c r="K25"/>
  <c r="J25"/>
  <c r="I25"/>
  <c r="H25"/>
  <c r="G25"/>
  <c r="F25"/>
  <c r="D25"/>
  <c r="D8"/>
  <c r="G6"/>
  <c r="H6" s="1"/>
  <c r="I6" s="1"/>
  <c r="J6" s="1"/>
  <c r="K6" s="1"/>
  <c r="L6" s="1"/>
  <c r="M6" s="1"/>
  <c r="N6" s="1"/>
  <c r="O6" s="1"/>
  <c r="P6" s="1"/>
  <c r="Q6" s="1"/>
  <c r="R6" s="1"/>
  <c r="G39" l="1"/>
  <c r="H65" i="1" s="1"/>
  <c r="N39" i="2"/>
  <c r="P39"/>
  <c r="M39"/>
  <c r="O39"/>
  <c r="L39"/>
  <c r="K39"/>
  <c r="J39"/>
  <c r="I39"/>
  <c r="H39"/>
  <c r="F39"/>
  <c r="W83" i="6"/>
  <c r="S83"/>
  <c r="Q83"/>
  <c r="N87"/>
  <c r="AA83"/>
  <c r="Z83"/>
  <c r="Y83"/>
  <c r="X83"/>
  <c r="V83"/>
  <c r="U83"/>
  <c r="T83"/>
  <c r="R83"/>
  <c r="P83"/>
  <c r="N74"/>
  <c r="AA70"/>
  <c r="Z70"/>
  <c r="Y70"/>
  <c r="X70"/>
  <c r="W70"/>
  <c r="V70"/>
  <c r="U70"/>
  <c r="T70"/>
  <c r="S70"/>
  <c r="R70"/>
  <c r="Q70"/>
  <c r="P70"/>
  <c r="N70"/>
  <c r="L70" s="1"/>
  <c r="N61"/>
  <c r="N57" s="1"/>
  <c r="L57" s="1"/>
  <c r="AA57"/>
  <c r="Z57"/>
  <c r="Y57"/>
  <c r="X57"/>
  <c r="W57"/>
  <c r="V57"/>
  <c r="U57"/>
  <c r="T57"/>
  <c r="S57"/>
  <c r="R57"/>
  <c r="Q57"/>
  <c r="P57"/>
  <c r="N54"/>
  <c r="N49"/>
  <c r="AA44"/>
  <c r="Z44"/>
  <c r="Y44"/>
  <c r="X44"/>
  <c r="W44"/>
  <c r="V44"/>
  <c r="U44"/>
  <c r="T44"/>
  <c r="S44"/>
  <c r="R44"/>
  <c r="Q44"/>
  <c r="P44"/>
  <c r="N35"/>
  <c r="N31" s="1"/>
  <c r="L31" s="1"/>
  <c r="AA31"/>
  <c r="Z31"/>
  <c r="Y31"/>
  <c r="X31"/>
  <c r="W31"/>
  <c r="V31"/>
  <c r="U31"/>
  <c r="T31"/>
  <c r="S31"/>
  <c r="R31"/>
  <c r="Q31"/>
  <c r="P31"/>
  <c r="N28"/>
  <c r="N23"/>
  <c r="AA18"/>
  <c r="Z18"/>
  <c r="Y18"/>
  <c r="X18"/>
  <c r="W18"/>
  <c r="V18"/>
  <c r="U18"/>
  <c r="T18"/>
  <c r="S18"/>
  <c r="R18"/>
  <c r="Q18"/>
  <c r="P18"/>
  <c r="H42" i="3" l="1"/>
  <c r="I18" i="1"/>
  <c r="I17" s="1"/>
  <c r="K42" i="3"/>
  <c r="L18" i="1"/>
  <c r="L17" s="1"/>
  <c r="N42" i="3"/>
  <c r="O18" i="1"/>
  <c r="O17" s="1"/>
  <c r="P42" i="3"/>
  <c r="Q18" i="1"/>
  <c r="Q17" s="1"/>
  <c r="I42" i="3"/>
  <c r="J18" i="1"/>
  <c r="J17" s="1"/>
  <c r="N18" i="6"/>
  <c r="N83" s="1"/>
  <c r="L83" s="1"/>
  <c r="N44"/>
  <c r="L44" s="1"/>
  <c r="J42" i="3"/>
  <c r="K18" i="1"/>
  <c r="K17" s="1"/>
  <c r="L42" i="3"/>
  <c r="M18" i="1"/>
  <c r="M17" s="1"/>
  <c r="O42" i="3"/>
  <c r="P18" i="1"/>
  <c r="P17" s="1"/>
  <c r="Q42" i="3"/>
  <c r="R18" i="1"/>
  <c r="R17" s="1"/>
  <c r="G42" i="3"/>
  <c r="G46" s="1"/>
  <c r="H18" i="1"/>
  <c r="H17" s="1"/>
  <c r="M42" i="3"/>
  <c r="N18" i="1"/>
  <c r="N17" s="1"/>
  <c r="L18" i="6"/>
  <c r="F42" i="3"/>
  <c r="G18" i="1"/>
  <c r="G17" s="1"/>
  <c r="G65"/>
  <c r="Q65"/>
  <c r="P65"/>
  <c r="I65"/>
  <c r="K65"/>
  <c r="M65"/>
  <c r="N65"/>
  <c r="O65"/>
  <c r="J65"/>
  <c r="L65"/>
  <c r="F46" i="3" l="1"/>
  <c r="T136" i="4"/>
  <c r="S136"/>
  <c r="R136"/>
  <c r="P136"/>
  <c r="N136" s="1"/>
  <c r="P132"/>
  <c r="N122"/>
  <c r="V120"/>
  <c r="N118"/>
  <c r="N114" s="1"/>
  <c r="L114" s="1"/>
  <c r="T114"/>
  <c r="S114"/>
  <c r="R114"/>
  <c r="Q114"/>
  <c r="P114"/>
  <c r="V118" s="1"/>
  <c r="U114" s="1"/>
  <c r="N109"/>
  <c r="N101"/>
  <c r="L101" s="1"/>
  <c r="T101"/>
  <c r="S101"/>
  <c r="R101"/>
  <c r="Q101"/>
  <c r="V107" s="1"/>
  <c r="P101"/>
  <c r="V105" s="1"/>
  <c r="N96"/>
  <c r="V94"/>
  <c r="N92"/>
  <c r="N88" s="1"/>
  <c r="L88" s="1"/>
  <c r="T88"/>
  <c r="S88"/>
  <c r="R88"/>
  <c r="Q88"/>
  <c r="P88"/>
  <c r="V92" s="1"/>
  <c r="U88" s="1"/>
  <c r="N83"/>
  <c r="N79"/>
  <c r="N75" s="1"/>
  <c r="L75" s="1"/>
  <c r="T75"/>
  <c r="S75"/>
  <c r="R75"/>
  <c r="Q75"/>
  <c r="Q128" s="1"/>
  <c r="P75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U101" l="1"/>
  <c r="V81"/>
  <c r="V79"/>
  <c r="U75" s="1"/>
  <c r="P128"/>
  <c r="V134"/>
  <c r="H16" i="1"/>
  <c r="U32" i="4"/>
  <c r="U62"/>
  <c r="N132"/>
  <c r="N128" s="1"/>
  <c r="L128" s="1"/>
  <c r="V136"/>
  <c r="V55"/>
  <c r="V53"/>
  <c r="U45" s="1"/>
  <c r="G16" i="1" l="1"/>
  <c r="V132" i="4"/>
  <c r="U128" s="1"/>
  <c r="N192" i="5"/>
  <c r="U145"/>
  <c r="U143"/>
  <c r="N143"/>
  <c r="U141"/>
  <c r="U139"/>
  <c r="N139"/>
  <c r="T135"/>
  <c r="S135"/>
  <c r="R135"/>
  <c r="Q135"/>
  <c r="P135"/>
  <c r="U119"/>
  <c r="U117"/>
  <c r="N117"/>
  <c r="U115"/>
  <c r="U113"/>
  <c r="N113"/>
  <c r="T109"/>
  <c r="S109"/>
  <c r="V119" s="1"/>
  <c r="R109"/>
  <c r="V117" s="1"/>
  <c r="Q109"/>
  <c r="V115" s="1"/>
  <c r="P109"/>
  <c r="V113" s="1"/>
  <c r="U106"/>
  <c r="U104"/>
  <c r="N104"/>
  <c r="U102"/>
  <c r="U100"/>
  <c r="N100"/>
  <c r="T96"/>
  <c r="S96"/>
  <c r="V106" s="1"/>
  <c r="R96"/>
  <c r="V104" s="1"/>
  <c r="Q96"/>
  <c r="V102" s="1"/>
  <c r="P96"/>
  <c r="V100" s="1"/>
  <c r="U93"/>
  <c r="U91"/>
  <c r="N91"/>
  <c r="U89"/>
  <c r="U87"/>
  <c r="N87"/>
  <c r="T83"/>
  <c r="S83"/>
  <c r="V93" s="1"/>
  <c r="R83"/>
  <c r="V91" s="1"/>
  <c r="Q83"/>
  <c r="V89" s="1"/>
  <c r="P83"/>
  <c r="V87" s="1"/>
  <c r="U80"/>
  <c r="U78"/>
  <c r="N78"/>
  <c r="U76"/>
  <c r="U74"/>
  <c r="N74"/>
  <c r="T70"/>
  <c r="S70"/>
  <c r="V80" s="1"/>
  <c r="R70"/>
  <c r="V78" s="1"/>
  <c r="Q70"/>
  <c r="P70"/>
  <c r="V74" s="1"/>
  <c r="U54"/>
  <c r="U52"/>
  <c r="N52"/>
  <c r="U50"/>
  <c r="U48"/>
  <c r="N48"/>
  <c r="T44"/>
  <c r="S44"/>
  <c r="V54" s="1"/>
  <c r="R44"/>
  <c r="V52" s="1"/>
  <c r="Q44"/>
  <c r="V50" s="1"/>
  <c r="P44"/>
  <c r="U41"/>
  <c r="U39"/>
  <c r="N39"/>
  <c r="U37"/>
  <c r="U35"/>
  <c r="N35"/>
  <c r="T31"/>
  <c r="S31"/>
  <c r="V41" s="1"/>
  <c r="R31"/>
  <c r="V39" s="1"/>
  <c r="Q31"/>
  <c r="V37" s="1"/>
  <c r="P31"/>
  <c r="V35" s="1"/>
  <c r="N31"/>
  <c r="L31" s="1"/>
  <c r="J26" i="1" l="1"/>
  <c r="I26"/>
  <c r="V76" i="5"/>
  <c r="V48"/>
  <c r="G26" i="1"/>
  <c r="V139" i="5"/>
  <c r="V143"/>
  <c r="T188"/>
  <c r="V141"/>
  <c r="V145"/>
  <c r="N196"/>
  <c r="N188" s="1"/>
  <c r="L188" s="1"/>
  <c r="U31"/>
  <c r="U44"/>
  <c r="N44" s="1"/>
  <c r="L44" s="1"/>
  <c r="U70"/>
  <c r="N70" s="1"/>
  <c r="L70" s="1"/>
  <c r="U83"/>
  <c r="N83" s="1"/>
  <c r="L83" s="1"/>
  <c r="U96"/>
  <c r="N96" s="1"/>
  <c r="L96" s="1"/>
  <c r="U109"/>
  <c r="N109" s="1"/>
  <c r="L109" s="1"/>
  <c r="U135"/>
  <c r="N135" s="1"/>
  <c r="L135" s="1"/>
  <c r="F18" i="1" l="1"/>
  <c r="D93" l="1"/>
  <c r="I49" i="3" l="1"/>
  <c r="G49"/>
  <c r="G53" s="1"/>
  <c r="H49" l="1"/>
  <c r="H51"/>
  <c r="J49"/>
  <c r="K49" l="1"/>
  <c r="I51"/>
  <c r="H53"/>
  <c r="M11" i="1" l="1"/>
  <c r="J51" i="3"/>
  <c r="I53"/>
  <c r="E28" i="1"/>
  <c r="D28"/>
  <c r="L49" i="3" l="1"/>
  <c r="J53"/>
  <c r="K51"/>
  <c r="M12" i="1"/>
  <c r="H13"/>
  <c r="I13" s="1"/>
  <c r="J13" s="1"/>
  <c r="K13" s="1"/>
  <c r="L13" s="1"/>
  <c r="M13" s="1"/>
  <c r="N13" s="1"/>
  <c r="O13" s="1"/>
  <c r="P13" s="1"/>
  <c r="Q13" s="1"/>
  <c r="R13" s="1"/>
  <c r="H14"/>
  <c r="I14" s="1"/>
  <c r="J14" s="1"/>
  <c r="K14" s="1"/>
  <c r="L14" s="1"/>
  <c r="M14" s="1"/>
  <c r="N14" s="1"/>
  <c r="O14" s="1"/>
  <c r="P14" s="1"/>
  <c r="Q14" s="1"/>
  <c r="R14" s="1"/>
  <c r="H15"/>
  <c r="I15" s="1"/>
  <c r="J15" s="1"/>
  <c r="K15" s="1"/>
  <c r="L15" s="1"/>
  <c r="M15" s="1"/>
  <c r="N15" s="1"/>
  <c r="O15" s="1"/>
  <c r="P15" s="1"/>
  <c r="Q15" s="1"/>
  <c r="R15" s="1"/>
  <c r="E47"/>
  <c r="D47"/>
  <c r="D45" s="1"/>
  <c r="E58"/>
  <c r="E56" s="1"/>
  <c r="E33" s="1"/>
  <c r="E30" s="1"/>
  <c r="D58"/>
  <c r="D56" s="1"/>
  <c r="D33" s="1"/>
  <c r="M49" i="3" l="1"/>
  <c r="K53"/>
  <c r="N12" i="1"/>
  <c r="L51" i="3"/>
  <c r="E21" i="1"/>
  <c r="D21"/>
  <c r="E8"/>
  <c r="E7"/>
  <c r="D8"/>
  <c r="D7"/>
  <c r="E93" s="1"/>
  <c r="P11" l="1"/>
  <c r="O49" i="3" s="1"/>
  <c r="N49"/>
  <c r="L53"/>
  <c r="O12" i="1"/>
  <c r="M51" i="3"/>
  <c r="E91" i="1"/>
  <c r="F93"/>
  <c r="D74"/>
  <c r="E92"/>
  <c r="D91"/>
  <c r="D92" s="1"/>
  <c r="E9"/>
  <c r="D9"/>
  <c r="N51" i="3" l="1"/>
  <c r="M53"/>
  <c r="D30" i="1"/>
  <c r="E45"/>
  <c r="E74" s="1"/>
  <c r="F8"/>
  <c r="F7"/>
  <c r="G93" s="1"/>
  <c r="P49" i="3" l="1"/>
  <c r="O51"/>
  <c r="N53"/>
  <c r="R36" i="1"/>
  <c r="Q36"/>
  <c r="P36"/>
  <c r="O36"/>
  <c r="N36"/>
  <c r="M36"/>
  <c r="L36"/>
  <c r="H36"/>
  <c r="Q49" i="3" l="1"/>
  <c r="P51"/>
  <c r="O53"/>
  <c r="J28" i="1"/>
  <c r="I28"/>
  <c r="G28"/>
  <c r="Q51" i="3" l="1"/>
  <c r="Q53" s="1"/>
  <c r="S12" i="1"/>
  <c r="U11"/>
  <c r="V11" s="1"/>
  <c r="W11" s="1"/>
  <c r="X11" s="1"/>
  <c r="Y11" s="1"/>
  <c r="Z11" s="1"/>
  <c r="AA11" s="1"/>
  <c r="R49" i="3"/>
  <c r="P53"/>
  <c r="G58" i="1"/>
  <c r="H58"/>
  <c r="I58"/>
  <c r="J58"/>
  <c r="K58"/>
  <c r="L58"/>
  <c r="M58"/>
  <c r="N58"/>
  <c r="O58"/>
  <c r="P58"/>
  <c r="Q58"/>
  <c r="R58"/>
  <c r="U12" l="1"/>
  <c r="V12" s="1"/>
  <c r="W12" s="1"/>
  <c r="X12" s="1"/>
  <c r="Y12" s="1"/>
  <c r="Z12" s="1"/>
  <c r="AA12" s="1"/>
  <c r="R51" i="3"/>
  <c r="R53" s="1"/>
  <c r="U7" i="1"/>
  <c r="T7"/>
  <c r="U86" l="1"/>
  <c r="T86"/>
  <c r="AA77"/>
  <c r="Z77"/>
  <c r="Y77"/>
  <c r="X77"/>
  <c r="W77"/>
  <c r="V77"/>
  <c r="U77"/>
  <c r="T77"/>
  <c r="S77"/>
  <c r="R77"/>
  <c r="Q77"/>
  <c r="P77"/>
  <c r="O77"/>
  <c r="N77"/>
  <c r="M77"/>
  <c r="L77"/>
  <c r="H77"/>
  <c r="G77"/>
  <c r="S14"/>
  <c r="T14" s="1"/>
  <c r="U14" s="1"/>
  <c r="V14" s="1"/>
  <c r="W14" s="1"/>
  <c r="X14" s="1"/>
  <c r="Y14" s="1"/>
  <c r="Z14" s="1"/>
  <c r="AA14" s="1"/>
  <c r="S13"/>
  <c r="T13" s="1"/>
  <c r="U13" s="1"/>
  <c r="V13" s="1"/>
  <c r="W13" s="1"/>
  <c r="X13" s="1"/>
  <c r="Y13" s="1"/>
  <c r="Z13" s="1"/>
  <c r="AA13" s="1"/>
  <c r="S15"/>
  <c r="T15" s="1"/>
  <c r="U15" s="1"/>
  <c r="V15" s="1"/>
  <c r="W15" s="1"/>
  <c r="X15" s="1"/>
  <c r="Y15" s="1"/>
  <c r="Z15" s="1"/>
  <c r="AA15" s="1"/>
  <c r="AA8"/>
  <c r="Z8"/>
  <c r="Y8"/>
  <c r="X8"/>
  <c r="W8"/>
  <c r="V8"/>
  <c r="U8"/>
  <c r="T8"/>
  <c r="S8"/>
  <c r="R8"/>
  <c r="Q8"/>
  <c r="P8"/>
  <c r="O8"/>
  <c r="N8"/>
  <c r="M8"/>
  <c r="L8"/>
  <c r="K8"/>
  <c r="J8"/>
  <c r="I8"/>
  <c r="AA7"/>
  <c r="Z7"/>
  <c r="Y7"/>
  <c r="X7"/>
  <c r="W7"/>
  <c r="V7"/>
  <c r="W93" s="1"/>
  <c r="S7"/>
  <c r="R7"/>
  <c r="Q7"/>
  <c r="P7"/>
  <c r="O7"/>
  <c r="N7"/>
  <c r="M7"/>
  <c r="L7"/>
  <c r="K7"/>
  <c r="J7"/>
  <c r="I7"/>
  <c r="H7"/>
  <c r="AA28"/>
  <c r="Z28"/>
  <c r="Y28"/>
  <c r="X28"/>
  <c r="W28"/>
  <c r="V28"/>
  <c r="U28"/>
  <c r="T28"/>
  <c r="S28"/>
  <c r="R28"/>
  <c r="Q28"/>
  <c r="P28"/>
  <c r="O28"/>
  <c r="N28"/>
  <c r="M28"/>
  <c r="L28"/>
  <c r="K28"/>
  <c r="G8"/>
  <c r="G7"/>
  <c r="K48" i="3" l="1"/>
  <c r="K40" i="2"/>
  <c r="K41" s="1"/>
  <c r="Q48" i="3"/>
  <c r="Q40" i="2"/>
  <c r="F48" i="3"/>
  <c r="F40" i="2"/>
  <c r="F41" s="1"/>
  <c r="J48" i="3"/>
  <c r="J40" i="2"/>
  <c r="J41" s="1"/>
  <c r="L48" i="3"/>
  <c r="L40" i="2"/>
  <c r="L41" s="1"/>
  <c r="N48" i="3"/>
  <c r="N40" i="2"/>
  <c r="N41" s="1"/>
  <c r="J93" i="1"/>
  <c r="M40" i="2"/>
  <c r="M41" s="1"/>
  <c r="M48" i="3"/>
  <c r="O58" s="1"/>
  <c r="R40" i="2"/>
  <c r="R48" i="3"/>
  <c r="P48"/>
  <c r="P40" i="2"/>
  <c r="P41" s="1"/>
  <c r="O48" i="3"/>
  <c r="O40" i="2"/>
  <c r="O41" s="1"/>
  <c r="I40"/>
  <c r="I41" s="1"/>
  <c r="I48" i="3"/>
  <c r="L58" s="1"/>
  <c r="H40" i="2"/>
  <c r="H41" s="1"/>
  <c r="H48" i="3"/>
  <c r="K58" s="1"/>
  <c r="G48"/>
  <c r="G40" i="2"/>
  <c r="G41" s="1"/>
  <c r="Y93" i="1"/>
  <c r="I93"/>
  <c r="O93"/>
  <c r="L93"/>
  <c r="N93"/>
  <c r="P93"/>
  <c r="R93"/>
  <c r="M93"/>
  <c r="Q93"/>
  <c r="K93"/>
  <c r="H91"/>
  <c r="G91"/>
  <c r="G92" s="1"/>
  <c r="H93"/>
  <c r="U93"/>
  <c r="AA93"/>
  <c r="N86"/>
  <c r="P86"/>
  <c r="S93"/>
  <c r="G86"/>
  <c r="T93"/>
  <c r="X93"/>
  <c r="Z93"/>
  <c r="V93"/>
  <c r="H86"/>
  <c r="K86"/>
  <c r="M86"/>
  <c r="O86"/>
  <c r="Q86"/>
  <c r="W86"/>
  <c r="Y86"/>
  <c r="I86"/>
  <c r="L86"/>
  <c r="V86"/>
  <c r="X86"/>
  <c r="J86"/>
  <c r="F57" i="3" l="1"/>
  <c r="F55"/>
  <c r="N58"/>
  <c r="M58"/>
  <c r="Q58"/>
  <c r="P58"/>
  <c r="R58"/>
  <c r="G57"/>
  <c r="G55"/>
  <c r="I58"/>
  <c r="J58"/>
  <c r="H92" i="1"/>
  <c r="AA9"/>
  <c r="AA41" s="1"/>
  <c r="Z9"/>
  <c r="Y9"/>
  <c r="X9"/>
  <c r="W9"/>
  <c r="V9"/>
  <c r="U9"/>
  <c r="V52" s="1"/>
  <c r="T9"/>
  <c r="S9"/>
  <c r="R9"/>
  <c r="R41" s="1"/>
  <c r="Q9"/>
  <c r="P9"/>
  <c r="O9"/>
  <c r="N9"/>
  <c r="M9"/>
  <c r="L9"/>
  <c r="K9"/>
  <c r="J9"/>
  <c r="I9"/>
  <c r="G9"/>
  <c r="H52" s="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AA30"/>
  <c r="Z30"/>
  <c r="Y30"/>
  <c r="X30"/>
  <c r="W30"/>
  <c r="V30"/>
  <c r="U30"/>
  <c r="T30"/>
  <c r="S30"/>
  <c r="R30"/>
  <c r="Q30"/>
  <c r="P30"/>
  <c r="O30"/>
  <c r="N30"/>
  <c r="M30"/>
  <c r="L30"/>
  <c r="AA38"/>
  <c r="AA76" s="1"/>
  <c r="AA78" s="1"/>
  <c r="G38"/>
  <c r="G76" s="1"/>
  <c r="G78" s="1"/>
  <c r="F38"/>
  <c r="G47"/>
  <c r="F47"/>
  <c r="F45" s="1"/>
  <c r="AA58"/>
  <c r="AA91" s="1"/>
  <c r="AA92" s="1"/>
  <c r="Z58"/>
  <c r="Z91" s="1"/>
  <c r="Z92" s="1"/>
  <c r="Y58"/>
  <c r="Y91" s="1"/>
  <c r="Y92" s="1"/>
  <c r="X58"/>
  <c r="X91" s="1"/>
  <c r="X92" s="1"/>
  <c r="W58"/>
  <c r="W91" s="1"/>
  <c r="W92" s="1"/>
  <c r="V58"/>
  <c r="V91" s="1"/>
  <c r="V92" s="1"/>
  <c r="U58"/>
  <c r="U91" s="1"/>
  <c r="U92" s="1"/>
  <c r="T58"/>
  <c r="T91" s="1"/>
  <c r="T92" s="1"/>
  <c r="G56" l="1"/>
  <c r="G33" s="1"/>
  <c r="H56"/>
  <c r="J56"/>
  <c r="L56"/>
  <c r="I56"/>
  <c r="K56"/>
  <c r="M56"/>
  <c r="T56"/>
  <c r="R56"/>
  <c r="B55" i="7" s="1"/>
  <c r="B55" i="8" s="1"/>
  <c r="U56" i="1"/>
  <c r="W56"/>
  <c r="Y56"/>
  <c r="AA56"/>
  <c r="Q56"/>
  <c r="V56"/>
  <c r="V50" s="1"/>
  <c r="V47" s="1"/>
  <c r="V45" s="1"/>
  <c r="X56"/>
  <c r="Z56"/>
  <c r="P56"/>
  <c r="O56"/>
  <c r="N56"/>
  <c r="B50" i="7"/>
  <c r="B50" i="8" s="1"/>
  <c r="L41" i="1"/>
  <c r="L38" s="1"/>
  <c r="L76" s="1"/>
  <c r="L78" s="1"/>
  <c r="N41"/>
  <c r="N38" s="1"/>
  <c r="N76" s="1"/>
  <c r="N78" s="1"/>
  <c r="P41"/>
  <c r="P38" s="1"/>
  <c r="P76" s="1"/>
  <c r="P78" s="1"/>
  <c r="U52"/>
  <c r="U50" s="1"/>
  <c r="T38"/>
  <c r="T76" s="1"/>
  <c r="T78" s="1"/>
  <c r="W52"/>
  <c r="V41"/>
  <c r="V38" s="1"/>
  <c r="V76" s="1"/>
  <c r="V78" s="1"/>
  <c r="Y52"/>
  <c r="Y50" s="1"/>
  <c r="X41"/>
  <c r="X38" s="1"/>
  <c r="X76" s="1"/>
  <c r="X78" s="1"/>
  <c r="AA52"/>
  <c r="Z41"/>
  <c r="Z38" s="1"/>
  <c r="Z76" s="1"/>
  <c r="Z78" s="1"/>
  <c r="U47"/>
  <c r="U45" s="1"/>
  <c r="Y47"/>
  <c r="Y45" s="1"/>
  <c r="K41"/>
  <c r="K38" s="1"/>
  <c r="K76" s="1"/>
  <c r="M41"/>
  <c r="M38" s="1"/>
  <c r="M76" s="1"/>
  <c r="M78" s="1"/>
  <c r="O41"/>
  <c r="O38" s="1"/>
  <c r="O76" s="1"/>
  <c r="O78" s="1"/>
  <c r="Q41"/>
  <c r="Q38" s="1"/>
  <c r="Q76" s="1"/>
  <c r="Q78" s="1"/>
  <c r="S41"/>
  <c r="S38" s="1"/>
  <c r="S76" s="1"/>
  <c r="S78" s="1"/>
  <c r="U41"/>
  <c r="U38" s="1"/>
  <c r="U76" s="1"/>
  <c r="U78" s="1"/>
  <c r="W41"/>
  <c r="W38" s="1"/>
  <c r="W76" s="1"/>
  <c r="W78" s="1"/>
  <c r="X52"/>
  <c r="Y41"/>
  <c r="Y38" s="1"/>
  <c r="Y76" s="1"/>
  <c r="Y78" s="1"/>
  <c r="Z52"/>
  <c r="I38"/>
  <c r="I76" s="1"/>
  <c r="H38"/>
  <c r="H76" s="1"/>
  <c r="H78" s="1"/>
  <c r="J41"/>
  <c r="J38" s="1"/>
  <c r="J76" s="1"/>
  <c r="Z50" l="1"/>
  <c r="Z47" s="1"/>
  <c r="Z45" s="1"/>
  <c r="AA50"/>
  <c r="AA47" s="1"/>
  <c r="AA45" s="1"/>
  <c r="H84"/>
  <c r="W50"/>
  <c r="W47" s="1"/>
  <c r="W45" s="1"/>
  <c r="R47"/>
  <c r="R45" s="1"/>
  <c r="R74" s="1"/>
  <c r="G30"/>
  <c r="G84"/>
  <c r="X50"/>
  <c r="X47" s="1"/>
  <c r="X45" s="1"/>
  <c r="T47"/>
  <c r="T45" s="1"/>
  <c r="T74" s="1"/>
  <c r="F58"/>
  <c r="F28"/>
  <c r="F21"/>
  <c r="F9"/>
  <c r="G52" s="1"/>
  <c r="G45" s="1"/>
  <c r="G74" s="1"/>
  <c r="R43" l="1"/>
  <c r="R38" s="1"/>
  <c r="R76" s="1"/>
  <c r="R78" s="1"/>
  <c r="N47"/>
  <c r="N45" s="1"/>
  <c r="N74" s="1"/>
  <c r="B51" i="7"/>
  <c r="B51" i="8" s="1"/>
  <c r="Q47" i="1"/>
  <c r="Q45" s="1"/>
  <c r="Q74" s="1"/>
  <c r="B54" i="7"/>
  <c r="B54" i="8" s="1"/>
  <c r="L47" i="1"/>
  <c r="L45" s="1"/>
  <c r="L74" s="1"/>
  <c r="B49" i="7"/>
  <c r="B49" i="8" s="1"/>
  <c r="P47" i="1"/>
  <c r="P45" s="1"/>
  <c r="P74" s="1"/>
  <c r="B53" i="7"/>
  <c r="B53" i="8" s="1"/>
  <c r="O47" i="1"/>
  <c r="O45" s="1"/>
  <c r="O74" s="1"/>
  <c r="B52" i="7"/>
  <c r="B52" i="8" s="1"/>
  <c r="F56" i="1"/>
  <c r="F33" s="1"/>
  <c r="F91"/>
  <c r="F92" s="1"/>
  <c r="H30"/>
  <c r="H47"/>
  <c r="H45" s="1"/>
  <c r="F30"/>
  <c r="F74"/>
  <c r="H5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M47"/>
  <c r="M45" s="1"/>
  <c r="M74" s="1"/>
  <c r="D124" i="9"/>
  <c r="I36" i="1" l="1"/>
  <c r="I30" s="1"/>
  <c r="I77"/>
  <c r="I78" s="1"/>
  <c r="D130" i="9"/>
  <c r="D135"/>
  <c r="D127"/>
  <c r="D132"/>
  <c r="D134"/>
  <c r="D131"/>
  <c r="D128"/>
  <c r="D133"/>
  <c r="D125"/>
  <c r="D129"/>
  <c r="D126"/>
  <c r="P172" i="11"/>
  <c r="T42" l="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7" i="7" s="1"/>
  <c r="T28" i="11"/>
  <c r="T112"/>
  <c r="Y123" s="1"/>
  <c r="AD47" i="7" s="1"/>
  <c r="T88" i="11"/>
  <c r="T64"/>
  <c r="Y75" s="1"/>
  <c r="V47" i="7" s="1"/>
  <c r="T52" i="11"/>
  <c r="Y39" l="1"/>
  <c r="P47" i="7" s="1"/>
  <c r="P47" i="8" s="1"/>
  <c r="Y87" i="11"/>
  <c r="X47" i="7" s="1"/>
  <c r="AD47" i="8"/>
  <c r="Y99" i="11"/>
  <c r="Z47" i="7" s="1"/>
  <c r="Y111" i="11"/>
  <c r="AB47" i="7" s="1"/>
  <c r="Y63" i="11"/>
  <c r="T47" i="7" s="1"/>
  <c r="V47" i="8"/>
  <c r="R47"/>
  <c r="X47"/>
  <c r="Y159" i="11"/>
  <c r="Y147"/>
  <c r="T47" i="8"/>
  <c r="Z47"/>
  <c r="AB47"/>
  <c r="T172" i="11"/>
  <c r="Y15"/>
  <c r="Y135"/>
  <c r="AF47" i="7" s="1"/>
  <c r="Y27" i="11"/>
  <c r="Y171"/>
  <c r="BU47" i="7" l="1"/>
  <c r="BV47" s="1"/>
  <c r="AF47" i="8"/>
  <c r="BU47" s="1"/>
  <c r="BV47" s="1"/>
  <c r="BO47" i="7"/>
  <c r="BP47" s="1"/>
  <c r="AW47"/>
  <c r="AX47" s="1"/>
  <c r="BR47" i="8"/>
  <c r="BS47" s="1"/>
  <c r="BO47"/>
  <c r="BP47" s="1"/>
  <c r="F47" i="7"/>
  <c r="BL47"/>
  <c r="BM47" s="1"/>
  <c r="BC47"/>
  <c r="BD47" s="1"/>
  <c r="BR47"/>
  <c r="BS47" s="1"/>
  <c r="BI47"/>
  <c r="BJ47" s="1"/>
  <c r="AZ47"/>
  <c r="BA47" s="1"/>
  <c r="BF47"/>
  <c r="BG47" s="1"/>
  <c r="F47" i="8"/>
  <c r="AW47"/>
  <c r="AX47" s="1"/>
  <c r="BI47"/>
  <c r="BJ47" s="1"/>
  <c r="AZ47"/>
  <c r="BA47" s="1"/>
  <c r="BL47"/>
  <c r="BM47" s="1"/>
  <c r="BC47"/>
  <c r="BD47" s="1"/>
  <c r="BF47"/>
  <c r="BG47" s="1"/>
  <c r="P172" i="12"/>
  <c r="T18" l="1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8" i="7" s="1"/>
  <c r="T100" i="12"/>
  <c r="T52"/>
  <c r="T40"/>
  <c r="T88"/>
  <c r="Y99" s="1"/>
  <c r="T76"/>
  <c r="T112"/>
  <c r="T64"/>
  <c r="T28"/>
  <c r="AF48" i="8" l="1"/>
  <c r="BU48" s="1"/>
  <c r="BV48" s="1"/>
  <c r="BU48" i="7"/>
  <c r="BV48" s="1"/>
  <c r="Y39" i="12"/>
  <c r="Y123"/>
  <c r="AD48" i="7" s="1"/>
  <c r="AD48" i="8" s="1"/>
  <c r="BR48" s="1"/>
  <c r="BS48" s="1"/>
  <c r="Y63" i="12"/>
  <c r="T48" i="7" s="1"/>
  <c r="T48" i="8" s="1"/>
  <c r="Y171" i="12"/>
  <c r="Y75"/>
  <c r="V48" i="7" s="1"/>
  <c r="Y87" i="12"/>
  <c r="X48" i="7" s="1"/>
  <c r="Y51" i="12"/>
  <c r="R48" i="7" s="1"/>
  <c r="Y111" i="12"/>
  <c r="BL48" i="7" s="1"/>
  <c r="BM48" s="1"/>
  <c r="Y159" i="12"/>
  <c r="Y147"/>
  <c r="Z48" i="8"/>
  <c r="Y15" i="12"/>
  <c r="T172"/>
  <c r="BR48" i="7" l="1"/>
  <c r="BS48" s="1"/>
  <c r="BO48"/>
  <c r="BP48" s="1"/>
  <c r="AB48" i="8"/>
  <c r="BO48" s="1"/>
  <c r="BP48" s="1"/>
  <c r="BI48" i="7"/>
  <c r="BJ48" s="1"/>
  <c r="X48" i="8"/>
  <c r="BI48" s="1"/>
  <c r="BJ48" s="1"/>
  <c r="R48"/>
  <c r="F48" i="7"/>
  <c r="AZ48"/>
  <c r="BA48" s="1"/>
  <c r="V48" i="8"/>
  <c r="BF48" i="7"/>
  <c r="BG48" s="1"/>
  <c r="BC48"/>
  <c r="BD48" s="1"/>
  <c r="F48" i="8" l="1"/>
  <c r="BF48"/>
  <c r="BG48" s="1"/>
  <c r="BL48"/>
  <c r="BM48" s="1"/>
  <c r="AZ48"/>
  <c r="BA48" s="1"/>
  <c r="BC48"/>
  <c r="BD48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0" i="7" s="1"/>
  <c r="T160" i="14"/>
  <c r="T28"/>
  <c r="Y39" s="1"/>
  <c r="T136"/>
  <c r="T16"/>
  <c r="Y27" s="1"/>
  <c r="T64"/>
  <c r="T148"/>
  <c r="Y159" s="1"/>
  <c r="T88"/>
  <c r="T100"/>
  <c r="Y111" s="1"/>
  <c r="AB50" i="7" s="1"/>
  <c r="T76" i="14"/>
  <c r="T40"/>
  <c r="Y51" s="1"/>
  <c r="T52"/>
  <c r="Y75" l="1"/>
  <c r="V50" i="7" s="1"/>
  <c r="Y147" i="14"/>
  <c r="AD50" i="8"/>
  <c r="Y63" i="14"/>
  <c r="Y87"/>
  <c r="X50" i="7" s="1"/>
  <c r="X50" i="8" s="1"/>
  <c r="Y171" i="14"/>
  <c r="AB50" i="8"/>
  <c r="V50"/>
  <c r="Y15" i="14"/>
  <c r="T172"/>
  <c r="Y99"/>
  <c r="Z50" i="7" s="1"/>
  <c r="Y135" i="14"/>
  <c r="AF50" i="7" s="1"/>
  <c r="AF50" i="8" l="1"/>
  <c r="BU50" s="1"/>
  <c r="BV50" s="1"/>
  <c r="BU50" i="7"/>
  <c r="BV50" s="1"/>
  <c r="BO50"/>
  <c r="BP50" s="1"/>
  <c r="BR50"/>
  <c r="BS50" s="1"/>
  <c r="BI50"/>
  <c r="BJ50" s="1"/>
  <c r="BO50" i="8"/>
  <c r="BP50" s="1"/>
  <c r="BR50"/>
  <c r="BS50" s="1"/>
  <c r="F50" i="7"/>
  <c r="BL50"/>
  <c r="BM50" s="1"/>
  <c r="Z50" i="8"/>
  <c r="BL50" s="1"/>
  <c r="BM50" s="1"/>
  <c r="BF50" i="7"/>
  <c r="BG50" s="1"/>
  <c r="BI50" i="8" l="1"/>
  <c r="BJ50" s="1"/>
  <c r="F50"/>
  <c r="BF50"/>
  <c r="BG50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1" i="7" s="1"/>
  <c r="Y111" i="15"/>
  <c r="AB51" i="7" s="1"/>
  <c r="Y75" i="15"/>
  <c r="Y63"/>
  <c r="Y123"/>
  <c r="AD51" i="7" s="1"/>
  <c r="Y39" i="15"/>
  <c r="Y159"/>
  <c r="Y51"/>
  <c r="Y27"/>
  <c r="AB51" i="8"/>
  <c r="T172" i="15"/>
  <c r="Y15"/>
  <c r="Y171"/>
  <c r="Y99"/>
  <c r="Z51" i="7" s="1"/>
  <c r="Y147" i="15"/>
  <c r="Y87"/>
  <c r="X51" i="7" s="1"/>
  <c r="AF51" i="8" l="1"/>
  <c r="BU51" s="1"/>
  <c r="BV51" s="1"/>
  <c r="BU51" i="7"/>
  <c r="BV51" s="1"/>
  <c r="BO51"/>
  <c r="BP51" s="1"/>
  <c r="BR51"/>
  <c r="BS51" s="1"/>
  <c r="AD51" i="8"/>
  <c r="BR51" s="1"/>
  <c r="BS51" s="1"/>
  <c r="F51" i="7"/>
  <c r="BI51"/>
  <c r="BJ51" s="1"/>
  <c r="X51" i="8"/>
  <c r="BL51" i="7"/>
  <c r="BM51" s="1"/>
  <c r="Z51" i="8"/>
  <c r="BL51" l="1"/>
  <c r="BM51" s="1"/>
  <c r="BO51"/>
  <c r="BP51" s="1"/>
  <c r="F51"/>
  <c r="BI51"/>
  <c r="BJ51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Y27" s="1"/>
  <c r="T52"/>
  <c r="T64"/>
  <c r="T160"/>
  <c r="T112"/>
  <c r="Y123" s="1"/>
  <c r="AD52" i="7" s="1"/>
  <c r="T28" i="16"/>
  <c r="T76"/>
  <c r="Y87" s="1"/>
  <c r="T100"/>
  <c r="T88"/>
  <c r="Y99" s="1"/>
  <c r="Z52" i="7" s="1"/>
  <c r="T124" i="16"/>
  <c r="T136"/>
  <c r="Y147" s="1"/>
  <c r="T40"/>
  <c r="Y75" l="1"/>
  <c r="Y51"/>
  <c r="Y135"/>
  <c r="Y111"/>
  <c r="AB52" i="7" s="1"/>
  <c r="F52" s="1"/>
  <c r="Y39" i="16"/>
  <c r="Y171"/>
  <c r="AD52" i="8"/>
  <c r="BR52" s="1"/>
  <c r="BS52" s="1"/>
  <c r="BR52" i="7"/>
  <c r="BS52" s="1"/>
  <c r="Y63" i="16"/>
  <c r="Y159"/>
  <c r="Z52" i="8"/>
  <c r="BO52" i="7"/>
  <c r="BP52" s="1"/>
  <c r="T172" i="16"/>
  <c r="Y15"/>
  <c r="BL52" i="7" l="1"/>
  <c r="BM52" s="1"/>
  <c r="AB52" i="8"/>
  <c r="BO52" s="1"/>
  <c r="BP52" s="1"/>
  <c r="P172" i="17"/>
  <c r="T40" s="1"/>
  <c r="BL52" i="8" l="1"/>
  <c r="BM52" s="1"/>
  <c r="F52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3" i="7" s="1"/>
  <c r="Y51" i="17"/>
  <c r="Y63"/>
  <c r="Y87"/>
  <c r="Y135"/>
  <c r="AF53" i="7" s="1"/>
  <c r="T172" i="17"/>
  <c r="Y15"/>
  <c r="Y99"/>
  <c r="Y75"/>
  <c r="Y111"/>
  <c r="AB53" i="7" s="1"/>
  <c r="BU53" l="1"/>
  <c r="BV53" s="1"/>
  <c r="AF53" i="8"/>
  <c r="BU53" s="1"/>
  <c r="BV53" s="1"/>
  <c r="AD53"/>
  <c r="BR53" s="1"/>
  <c r="BS53" s="1"/>
  <c r="BR53" i="7"/>
  <c r="BS53" s="1"/>
  <c r="BO53"/>
  <c r="BP53" s="1"/>
  <c r="F53"/>
  <c r="AB53" i="8"/>
  <c r="P172" i="18"/>
  <c r="T76" s="1"/>
  <c r="BO53" i="8" l="1"/>
  <c r="BP53" s="1"/>
  <c r="F53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Y123" s="1"/>
  <c r="AD54" i="7" s="1"/>
  <c r="T124" i="18"/>
  <c r="T28"/>
  <c r="Y39" s="1"/>
  <c r="T88"/>
  <c r="T40"/>
  <c r="T160"/>
  <c r="T16"/>
  <c r="T52"/>
  <c r="T136"/>
  <c r="Y147" s="1"/>
  <c r="T64"/>
  <c r="Y75" l="1"/>
  <c r="Y63"/>
  <c r="Y171"/>
  <c r="Y99"/>
  <c r="Y135"/>
  <c r="AF54" i="7" s="1"/>
  <c r="Y111" i="18"/>
  <c r="F54" i="7"/>
  <c r="AD54" i="8"/>
  <c r="BR54" i="7"/>
  <c r="BS54" s="1"/>
  <c r="Y87" i="18"/>
  <c r="Y27"/>
  <c r="Y51"/>
  <c r="Y15"/>
  <c r="T172"/>
  <c r="Y159"/>
  <c r="AF54" i="8" l="1"/>
  <c r="BU54" s="1"/>
  <c r="BV54" s="1"/>
  <c r="BU54" i="7"/>
  <c r="BV54" s="1"/>
  <c r="F54" i="8" l="1"/>
  <c r="BR54"/>
  <c r="BS54" s="1"/>
  <c r="BL49" i="7"/>
  <c r="BM49" s="1"/>
  <c r="BI49"/>
  <c r="BJ49" s="1"/>
  <c r="BO49"/>
  <c r="BP49" s="1"/>
  <c r="V49" i="8"/>
  <c r="T49"/>
  <c r="Z49" l="1"/>
  <c r="AB49"/>
  <c r="BO49" s="1"/>
  <c r="BP49" s="1"/>
  <c r="X49"/>
  <c r="F49" i="7"/>
  <c r="BC49"/>
  <c r="BD49" s="1"/>
  <c r="BF49"/>
  <c r="BG49" s="1"/>
  <c r="F49" i="8" l="1"/>
  <c r="BI49"/>
  <c r="BJ49" s="1"/>
  <c r="BL49"/>
  <c r="BM49" s="1"/>
  <c r="BF49"/>
  <c r="BG49" s="1"/>
  <c r="BC49"/>
  <c r="BD49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5" i="7" s="1"/>
  <c r="Y75" i="9"/>
  <c r="V45" i="7" s="1"/>
  <c r="Y99" i="9"/>
  <c r="Z45" i="7" s="1"/>
  <c r="Y39" i="9"/>
  <c r="P45" i="7" s="1"/>
  <c r="Y27" i="9"/>
  <c r="N45" i="7" s="1"/>
  <c r="Y63" i="9"/>
  <c r="T45" i="7" s="1"/>
  <c r="Y123" i="9"/>
  <c r="AD45" i="7" s="1"/>
  <c r="Y51" i="9"/>
  <c r="R45" i="7" s="1"/>
  <c r="Y135" i="9"/>
  <c r="AF45" i="7" s="1"/>
  <c r="Y111" i="9"/>
  <c r="AB45" i="7" s="1"/>
  <c r="Y147" i="9"/>
  <c r="AB45" i="8"/>
  <c r="X45"/>
  <c r="T45"/>
  <c r="AD45"/>
  <c r="Y171" i="9"/>
  <c r="T172"/>
  <c r="Y15"/>
  <c r="L45" i="7" s="1"/>
  <c r="L57" s="1"/>
  <c r="V45" i="8"/>
  <c r="BF45" i="7" l="1"/>
  <c r="BG45" s="1"/>
  <c r="AZ45"/>
  <c r="BA45" s="1"/>
  <c r="AT45"/>
  <c r="AU45" s="1"/>
  <c r="N45" i="8"/>
  <c r="AW45" i="7"/>
  <c r="BR45"/>
  <c r="Z45" i="8"/>
  <c r="R45"/>
  <c r="P45"/>
  <c r="BX45" i="7"/>
  <c r="AF45" i="8"/>
  <c r="BC45" i="7"/>
  <c r="BD45" s="1"/>
  <c r="BL45"/>
  <c r="BM45" s="1"/>
  <c r="BI45"/>
  <c r="BJ45" s="1"/>
  <c r="AH45" i="8"/>
  <c r="BU45" i="7"/>
  <c r="BO45"/>
  <c r="BP45" s="1"/>
  <c r="AQ45"/>
  <c r="F45"/>
  <c r="L45" i="8"/>
  <c r="BV45" i="7"/>
  <c r="AX45"/>
  <c r="BS45"/>
  <c r="BY45"/>
  <c r="BF45" i="8" l="1"/>
  <c r="BR45"/>
  <c r="F45"/>
  <c r="L58"/>
  <c r="BL45"/>
  <c r="AW45"/>
  <c r="AX45" s="1"/>
  <c r="BC45"/>
  <c r="BD45" s="1"/>
  <c r="BO45"/>
  <c r="BP45" s="1"/>
  <c r="AZ45"/>
  <c r="BA45" s="1"/>
  <c r="AT45"/>
  <c r="AU45" s="1"/>
  <c r="BI45"/>
  <c r="BJ45" s="1"/>
  <c r="BU45"/>
  <c r="BV45" s="1"/>
  <c r="BX45"/>
  <c r="AR45" i="7"/>
  <c r="AR57" s="1"/>
  <c r="AQ57"/>
  <c r="BG45" i="8"/>
  <c r="BY45"/>
  <c r="BM45"/>
  <c r="BS45"/>
  <c r="AQ45"/>
  <c r="K58" i="7"/>
  <c r="J16" i="20" l="1"/>
  <c r="J12" s="1"/>
  <c r="J17" s="1"/>
  <c r="L60" i="8"/>
  <c r="J28" i="20"/>
  <c r="AR45" i="8"/>
  <c r="AR60" s="1"/>
  <c r="AR63" s="1"/>
  <c r="AQ60"/>
  <c r="P172" i="10"/>
  <c r="T99" s="1"/>
  <c r="K61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6" i="7" s="1"/>
  <c r="X57" s="1"/>
  <c r="Y99" i="10"/>
  <c r="Z46" i="7" s="1"/>
  <c r="Z57" s="1"/>
  <c r="Y123" i="10"/>
  <c r="AD46" i="7" s="1"/>
  <c r="AD57" s="1"/>
  <c r="Y75" i="10"/>
  <c r="V46" i="7" s="1"/>
  <c r="V57" s="1"/>
  <c r="Y111" i="10"/>
  <c r="AB46" i="7" s="1"/>
  <c r="AB57" s="1"/>
  <c r="Y135" i="10"/>
  <c r="AF46" i="7" s="1"/>
  <c r="Y171" i="10"/>
  <c r="Y39"/>
  <c r="P46" i="7" s="1"/>
  <c r="P57" s="1"/>
  <c r="Y159" i="10"/>
  <c r="Y27"/>
  <c r="N46" i="7" s="1"/>
  <c r="N57" s="1"/>
  <c r="Y63" i="10"/>
  <c r="T46" i="7" s="1"/>
  <c r="T57" s="1"/>
  <c r="Y51" i="10"/>
  <c r="R46" i="7" s="1"/>
  <c r="R57" s="1"/>
  <c r="Y147" i="10"/>
  <c r="AH57" i="7" s="1"/>
  <c r="BC46" l="1"/>
  <c r="T46" i="8"/>
  <c r="T58" s="1"/>
  <c r="AB46"/>
  <c r="AB58" s="1"/>
  <c r="BO46" i="7"/>
  <c r="BR46"/>
  <c r="AD46" i="8"/>
  <c r="AD58" s="1"/>
  <c r="BI46" i="7"/>
  <c r="X46" i="8"/>
  <c r="X58" s="1"/>
  <c r="AH46"/>
  <c r="AH58" s="1"/>
  <c r="AH60" s="1"/>
  <c r="AH62" s="1"/>
  <c r="BX46" i="7"/>
  <c r="R46" i="8"/>
  <c r="R58" s="1"/>
  <c r="AZ46" i="7"/>
  <c r="AT46"/>
  <c r="N46" i="8"/>
  <c r="N58" s="1"/>
  <c r="F46" i="7"/>
  <c r="AW46"/>
  <c r="P46" i="8"/>
  <c r="P58" s="1"/>
  <c r="AF46"/>
  <c r="BU46" i="7"/>
  <c r="V46" i="8"/>
  <c r="V58" s="1"/>
  <c r="BF46" i="7"/>
  <c r="BL46"/>
  <c r="Z46" i="8"/>
  <c r="Z58" s="1"/>
  <c r="N16" i="20" l="1"/>
  <c r="P60" i="8"/>
  <c r="P16" i="20"/>
  <c r="P12" s="1"/>
  <c r="P17" s="1"/>
  <c r="R60" i="8"/>
  <c r="AB16" i="20"/>
  <c r="AB12" s="1"/>
  <c r="AB17" s="1"/>
  <c r="AD60" i="8"/>
  <c r="Z16" i="20"/>
  <c r="Z12" s="1"/>
  <c r="Z17" s="1"/>
  <c r="AB60" i="8"/>
  <c r="R16" i="20"/>
  <c r="R12" s="1"/>
  <c r="R17" s="1"/>
  <c r="T60" i="8"/>
  <c r="T16" i="20"/>
  <c r="T12" s="1"/>
  <c r="T17" s="1"/>
  <c r="V60" i="8"/>
  <c r="X16" i="20"/>
  <c r="X12" s="1"/>
  <c r="X17" s="1"/>
  <c r="Z60" i="8"/>
  <c r="L16" i="20"/>
  <c r="N60" i="8"/>
  <c r="V16" i="20"/>
  <c r="V12" s="1"/>
  <c r="V17" s="1"/>
  <c r="X60" i="8"/>
  <c r="R27" i="3"/>
  <c r="AD6" i="20"/>
  <c r="AD11" s="1"/>
  <c r="F46" i="8"/>
  <c r="BG46" i="7"/>
  <c r="BG57" s="1"/>
  <c r="BF57"/>
  <c r="AW57"/>
  <c r="AX46"/>
  <c r="AX57" s="1"/>
  <c r="AT57"/>
  <c r="AU46"/>
  <c r="AU57" s="1"/>
  <c r="AZ46" i="8"/>
  <c r="BX57" i="7"/>
  <c r="BY46"/>
  <c r="BY57" s="1"/>
  <c r="AG58"/>
  <c r="W58"/>
  <c r="BR46" i="8"/>
  <c r="AC58" i="7"/>
  <c r="BO46" i="8"/>
  <c r="BC46"/>
  <c r="BD46" i="7"/>
  <c r="BD57" s="1"/>
  <c r="BC57"/>
  <c r="AW46" i="8"/>
  <c r="Y58" i="7"/>
  <c r="BF46" i="8"/>
  <c r="BV46" i="7"/>
  <c r="BL46" i="8"/>
  <c r="BL57" i="7"/>
  <c r="BM46"/>
  <c r="BM57" s="1"/>
  <c r="U58"/>
  <c r="BU46" i="8"/>
  <c r="O58" i="7"/>
  <c r="M58"/>
  <c r="F60" i="8"/>
  <c r="AT46"/>
  <c r="BA46" i="7"/>
  <c r="BA57" s="1"/>
  <c r="AZ57"/>
  <c r="Q58"/>
  <c r="BX46" i="8"/>
  <c r="BI46"/>
  <c r="BJ46" i="7"/>
  <c r="BJ57" s="1"/>
  <c r="BI57"/>
  <c r="BR57"/>
  <c r="BS46"/>
  <c r="BS57" s="1"/>
  <c r="BO57"/>
  <c r="BP46"/>
  <c r="BP57" s="1"/>
  <c r="AA58"/>
  <c r="S58"/>
  <c r="R37" i="3" l="1"/>
  <c r="S58" i="1"/>
  <c r="L12" i="20"/>
  <c r="L17" s="1"/>
  <c r="L28"/>
  <c r="N12"/>
  <c r="N17" s="1"/>
  <c r="N28"/>
  <c r="M61" i="8"/>
  <c r="O61"/>
  <c r="R28" i="20"/>
  <c r="Z28"/>
  <c r="V28"/>
  <c r="X28"/>
  <c r="T28"/>
  <c r="P28"/>
  <c r="AB28"/>
  <c r="BY46" i="8"/>
  <c r="BY60" s="1"/>
  <c r="BY63" s="1"/>
  <c r="BX60"/>
  <c r="BX62" s="1"/>
  <c r="BY62" s="1"/>
  <c r="AU46"/>
  <c r="AU60" s="1"/>
  <c r="AT60"/>
  <c r="BV46"/>
  <c r="BL60"/>
  <c r="BM46"/>
  <c r="BM60" s="1"/>
  <c r="BG46"/>
  <c r="BG60" s="1"/>
  <c r="BF60"/>
  <c r="AW60"/>
  <c r="AX46"/>
  <c r="AX60" s="1"/>
  <c r="S61"/>
  <c r="AA61"/>
  <c r="AC61"/>
  <c r="Q61"/>
  <c r="W61"/>
  <c r="BI60"/>
  <c r="BJ46"/>
  <c r="BJ60" s="1"/>
  <c r="AG61"/>
  <c r="AH63"/>
  <c r="E61"/>
  <c r="Y61"/>
  <c r="U61"/>
  <c r="BD46"/>
  <c r="BD60" s="1"/>
  <c r="BC60"/>
  <c r="BO60"/>
  <c r="BP46"/>
  <c r="BP60" s="1"/>
  <c r="BS46"/>
  <c r="BA46"/>
  <c r="BA60" s="1"/>
  <c r="AZ60"/>
  <c r="S56" i="1" l="1"/>
  <c r="S47" s="1"/>
  <c r="S45" s="1"/>
  <c r="S74" s="1"/>
  <c r="H26"/>
  <c r="H28" l="1"/>
  <c r="H8"/>
  <c r="H9" l="1"/>
  <c r="B46" i="7" s="1"/>
  <c r="H74" i="1"/>
  <c r="I47" l="1"/>
  <c r="I45" s="1"/>
  <c r="I74" l="1"/>
  <c r="B46" i="8"/>
  <c r="AG31" i="7"/>
  <c r="BX27"/>
  <c r="B47" l="1"/>
  <c r="J36" i="1"/>
  <c r="J30" s="1"/>
  <c r="J77"/>
  <c r="J78" s="1"/>
  <c r="BX32" i="7"/>
  <c r="BX59"/>
  <c r="BY27"/>
  <c r="AH32"/>
  <c r="AG33" s="1"/>
  <c r="AH59"/>
  <c r="AH60" s="1"/>
  <c r="J47" i="1" l="1"/>
  <c r="J45" s="1"/>
  <c r="J74" s="1"/>
  <c r="BY59" i="7"/>
  <c r="BY32"/>
  <c r="BY60"/>
  <c r="B47" i="8" l="1"/>
  <c r="T87" i="21"/>
  <c r="T47"/>
  <c r="T99"/>
  <c r="T13"/>
  <c r="T113"/>
  <c r="T63"/>
  <c r="T93"/>
  <c r="T110"/>
  <c r="T42"/>
  <c r="T109"/>
  <c r="T38"/>
  <c r="T74"/>
  <c r="T26"/>
  <c r="T20"/>
  <c r="T147"/>
  <c r="T117"/>
  <c r="T10"/>
  <c r="T71"/>
  <c r="T12"/>
  <c r="T114"/>
  <c r="T153"/>
  <c r="T35"/>
  <c r="T83"/>
  <c r="T169"/>
  <c r="T115"/>
  <c r="T41"/>
  <c r="T33"/>
  <c r="T159"/>
  <c r="T142"/>
  <c r="T30"/>
  <c r="T18"/>
  <c r="T130"/>
  <c r="T68"/>
  <c r="T44"/>
  <c r="T22"/>
  <c r="T146"/>
  <c r="T128"/>
  <c r="T48"/>
  <c r="T135"/>
  <c r="T92"/>
  <c r="T132"/>
  <c r="T151"/>
  <c r="T101"/>
  <c r="T75"/>
  <c r="T145"/>
  <c r="T91"/>
  <c r="T149"/>
  <c r="T31"/>
  <c r="T107"/>
  <c r="T79"/>
  <c r="T25"/>
  <c r="T166"/>
  <c r="T29"/>
  <c r="T105"/>
  <c r="T54"/>
  <c r="T8"/>
  <c r="T121"/>
  <c r="T108"/>
  <c r="T27"/>
  <c r="T78"/>
  <c r="T118"/>
  <c r="T77"/>
  <c r="T51"/>
  <c r="T15"/>
  <c r="T126"/>
  <c r="T85"/>
  <c r="T137"/>
  <c r="T96"/>
  <c r="T37"/>
  <c r="T57"/>
  <c r="T133"/>
  <c r="T103"/>
  <c r="T156"/>
  <c r="T120"/>
  <c r="T14"/>
  <c r="T58"/>
  <c r="T170"/>
  <c r="T112"/>
  <c r="T136"/>
  <c r="T160"/>
  <c r="T148"/>
  <c r="T76"/>
  <c r="T73"/>
  <c r="T150"/>
  <c r="T55"/>
  <c r="T139"/>
  <c r="T6"/>
  <c r="T158"/>
  <c r="T81"/>
  <c r="T143"/>
  <c r="T69"/>
  <c r="T19"/>
  <c r="T82"/>
  <c r="T131"/>
  <c r="T90"/>
  <c r="T23"/>
  <c r="T86"/>
  <c r="T171"/>
  <c r="T95"/>
  <c r="T161"/>
  <c r="T84"/>
  <c r="T119"/>
  <c r="T62"/>
  <c r="T140"/>
  <c r="T129"/>
  <c r="T116"/>
  <c r="T53"/>
  <c r="T144"/>
  <c r="T70"/>
  <c r="T123"/>
  <c r="T60"/>
  <c r="T39"/>
  <c r="T7"/>
  <c r="T127"/>
  <c r="T141"/>
  <c r="T94"/>
  <c r="T138"/>
  <c r="T5"/>
  <c r="T97"/>
  <c r="T164"/>
  <c r="T21"/>
  <c r="T49"/>
  <c r="T32"/>
  <c r="T168"/>
  <c r="T154"/>
  <c r="T102"/>
  <c r="T36"/>
  <c r="T56"/>
  <c r="T162"/>
  <c r="T106"/>
  <c r="T46"/>
  <c r="T59"/>
  <c r="T125"/>
  <c r="T72"/>
  <c r="T104"/>
  <c r="T66"/>
  <c r="T155"/>
  <c r="T65"/>
  <c r="T157"/>
  <c r="T98"/>
  <c r="T134"/>
  <c r="T165"/>
  <c r="T122"/>
  <c r="T61"/>
  <c r="T89"/>
  <c r="T50"/>
  <c r="T24"/>
  <c r="T45"/>
  <c r="T152"/>
  <c r="T67"/>
  <c r="T163"/>
  <c r="T34"/>
  <c r="T111"/>
  <c r="T11"/>
  <c r="T167"/>
  <c r="T80"/>
  <c r="T43"/>
  <c r="T17"/>
  <c r="T9"/>
  <c r="T100"/>
  <c r="T64"/>
  <c r="T16"/>
  <c r="T52"/>
  <c r="T40"/>
  <c r="T28"/>
  <c r="T88"/>
  <c r="T124"/>
  <c r="T4"/>
  <c r="BV32" i="7"/>
  <c r="AF32"/>
  <c r="AE33" s="1"/>
  <c r="AE31"/>
  <c r="K30" i="1" l="1"/>
  <c r="K77"/>
  <c r="K78" s="1"/>
  <c r="Y99" i="21"/>
  <c r="Z27" i="7" s="1"/>
  <c r="Y27" i="21"/>
  <c r="N27" i="7" s="1"/>
  <c r="Y135" i="21"/>
  <c r="Y63"/>
  <c r="T27" i="7" s="1"/>
  <c r="Y39" i="21"/>
  <c r="P27" i="7" s="1"/>
  <c r="Y75" i="21"/>
  <c r="V27" i="7" s="1"/>
  <c r="Y159" i="21"/>
  <c r="Y147"/>
  <c r="BU32" i="7"/>
  <c r="T172" i="21"/>
  <c r="Y15"/>
  <c r="L27" i="7" s="1"/>
  <c r="Y51" i="21"/>
  <c r="R27" i="7" s="1"/>
  <c r="Y111" i="21"/>
  <c r="AB27" i="7" s="1"/>
  <c r="Y87" i="21"/>
  <c r="X27" i="7" s="1"/>
  <c r="Y171" i="21"/>
  <c r="Y123"/>
  <c r="AD27" i="7" s="1"/>
  <c r="K47" i="1" l="1"/>
  <c r="K45" s="1"/>
  <c r="K74" s="1"/>
  <c r="B48" i="7"/>
  <c r="X27" i="8"/>
  <c r="X30" i="7"/>
  <c r="R27" i="8"/>
  <c r="R30" i="7"/>
  <c r="P27" i="8"/>
  <c r="P30" i="7"/>
  <c r="P59" s="1"/>
  <c r="P60" s="1"/>
  <c r="Z27" i="8"/>
  <c r="Z30" i="7"/>
  <c r="Y31" s="1"/>
  <c r="AD27" i="8"/>
  <c r="AD30" i="7"/>
  <c r="AD32" s="1"/>
  <c r="AC33" s="1"/>
  <c r="AB27" i="8"/>
  <c r="AB30" i="7"/>
  <c r="L27" i="8"/>
  <c r="L30" i="7"/>
  <c r="V27" i="8"/>
  <c r="V30" i="7"/>
  <c r="V32" s="1"/>
  <c r="U33" s="1"/>
  <c r="T27" i="8"/>
  <c r="T30" i="7"/>
  <c r="T32" s="1"/>
  <c r="N27" i="8"/>
  <c r="N30" i="7"/>
  <c r="N32" s="1"/>
  <c r="M33" s="1"/>
  <c r="BR27"/>
  <c r="BR30" s="1"/>
  <c r="BI27"/>
  <c r="BI30" s="1"/>
  <c r="AZ27"/>
  <c r="AZ30" s="1"/>
  <c r="Z59"/>
  <c r="Z60" s="1"/>
  <c r="BF27"/>
  <c r="BF30" s="1"/>
  <c r="BC27"/>
  <c r="BC30" s="1"/>
  <c r="BO27"/>
  <c r="BO30" s="1"/>
  <c r="F27"/>
  <c r="F30" s="1"/>
  <c r="E31" s="1"/>
  <c r="AQ27"/>
  <c r="AT27"/>
  <c r="AT30" s="1"/>
  <c r="BL27"/>
  <c r="BL30" s="1"/>
  <c r="AW27"/>
  <c r="AW30" s="1"/>
  <c r="BS27" l="1"/>
  <c r="BS30" s="1"/>
  <c r="BS32" s="1"/>
  <c r="N30" i="8"/>
  <c r="N32" s="1"/>
  <c r="M33" s="1"/>
  <c r="AT27"/>
  <c r="T30"/>
  <c r="R9" i="20" s="1"/>
  <c r="BC27" i="8"/>
  <c r="V30"/>
  <c r="V32" s="1"/>
  <c r="U33" s="1"/>
  <c r="BF27"/>
  <c r="AB30"/>
  <c r="AA31" s="1"/>
  <c r="BO27"/>
  <c r="AD30"/>
  <c r="AD32" s="1"/>
  <c r="AC33" s="1"/>
  <c r="BR27"/>
  <c r="Z30"/>
  <c r="Y31" s="1"/>
  <c r="BL27"/>
  <c r="P30"/>
  <c r="N9" i="20" s="1"/>
  <c r="AW27" i="8"/>
  <c r="R30"/>
  <c r="Q31" s="1"/>
  <c r="AZ27"/>
  <c r="X30"/>
  <c r="X32" s="1"/>
  <c r="W33" s="1"/>
  <c r="BI27"/>
  <c r="AQ27"/>
  <c r="T59" i="7"/>
  <c r="T60" s="1"/>
  <c r="P32"/>
  <c r="O33" s="1"/>
  <c r="U31"/>
  <c r="O31"/>
  <c r="B48" i="8"/>
  <c r="B57" i="7"/>
  <c r="M31"/>
  <c r="V59"/>
  <c r="V60" s="1"/>
  <c r="AD59"/>
  <c r="AD60" s="1"/>
  <c r="N59"/>
  <c r="N60" s="1"/>
  <c r="S31"/>
  <c r="AC31"/>
  <c r="Z32"/>
  <c r="Y33" s="1"/>
  <c r="L9" i="20"/>
  <c r="M31" i="8"/>
  <c r="T32"/>
  <c r="S31"/>
  <c r="T9" i="20"/>
  <c r="F27" i="8"/>
  <c r="F30" s="1"/>
  <c r="L30"/>
  <c r="AX27" i="7"/>
  <c r="AX30" s="1"/>
  <c r="AU27"/>
  <c r="AU30" s="1"/>
  <c r="BS59"/>
  <c r="AR27"/>
  <c r="AR30" s="1"/>
  <c r="AQ30"/>
  <c r="F32"/>
  <c r="F33" s="1"/>
  <c r="AB32"/>
  <c r="AA33" s="1"/>
  <c r="AB59"/>
  <c r="AB60" s="1"/>
  <c r="AA31"/>
  <c r="BG27"/>
  <c r="BG30" s="1"/>
  <c r="R32"/>
  <c r="Q33" s="1"/>
  <c r="R59"/>
  <c r="R60" s="1"/>
  <c r="Q31"/>
  <c r="W31"/>
  <c r="X59"/>
  <c r="X60" s="1"/>
  <c r="X32"/>
  <c r="W33" s="1"/>
  <c r="BM27"/>
  <c r="BM30" s="1"/>
  <c r="BR59"/>
  <c r="BR32"/>
  <c r="AO30"/>
  <c r="AN30"/>
  <c r="L59"/>
  <c r="L60" s="1"/>
  <c r="L32"/>
  <c r="K33" s="1"/>
  <c r="K31"/>
  <c r="BP27"/>
  <c r="BP30" s="1"/>
  <c r="BD27"/>
  <c r="BD30" s="1"/>
  <c r="BA27"/>
  <c r="BA30" s="1"/>
  <c r="BJ27"/>
  <c r="BJ30" s="1"/>
  <c r="O31" i="8" l="1"/>
  <c r="AB9" i="20"/>
  <c r="V9"/>
  <c r="V26" s="1"/>
  <c r="P9"/>
  <c r="X9"/>
  <c r="X26" s="1"/>
  <c r="AB32" i="8"/>
  <c r="AA33" s="1"/>
  <c r="W31"/>
  <c r="R32"/>
  <c r="Q33" s="1"/>
  <c r="P32"/>
  <c r="O33" s="1"/>
  <c r="Z32"/>
  <c r="Y33" s="1"/>
  <c r="AC31"/>
  <c r="Z9" i="20"/>
  <c r="U31" i="8"/>
  <c r="BS60" i="7"/>
  <c r="X62" i="8"/>
  <c r="X63" s="1"/>
  <c r="R62"/>
  <c r="P62"/>
  <c r="J39" i="3" s="1"/>
  <c r="Z62" i="8"/>
  <c r="AD62"/>
  <c r="AD63" s="1"/>
  <c r="AB62"/>
  <c r="V62"/>
  <c r="V63" s="1"/>
  <c r="T62"/>
  <c r="N62"/>
  <c r="AR27"/>
  <c r="AQ30"/>
  <c r="BJ27"/>
  <c r="BJ30" s="1"/>
  <c r="BI30"/>
  <c r="BA27"/>
  <c r="BA30" s="1"/>
  <c r="AZ30"/>
  <c r="AX27"/>
  <c r="AW30"/>
  <c r="BM27"/>
  <c r="BM30" s="1"/>
  <c r="BL30"/>
  <c r="BS27"/>
  <c r="BS30" s="1"/>
  <c r="BS32" s="1"/>
  <c r="BR30"/>
  <c r="BR32" s="1"/>
  <c r="BP27"/>
  <c r="BP30" s="1"/>
  <c r="BO30"/>
  <c r="BG27"/>
  <c r="BF30"/>
  <c r="BD27"/>
  <c r="BD30" s="1"/>
  <c r="BC30"/>
  <c r="AU27"/>
  <c r="AT30"/>
  <c r="V6" i="20"/>
  <c r="V11" s="1"/>
  <c r="V24" s="1"/>
  <c r="P26"/>
  <c r="P6"/>
  <c r="P11" s="1"/>
  <c r="P24" s="1"/>
  <c r="X6"/>
  <c r="X11" s="1"/>
  <c r="X24" s="1"/>
  <c r="AB26"/>
  <c r="AB6"/>
  <c r="AB11" s="1"/>
  <c r="AB24" s="1"/>
  <c r="Z26"/>
  <c r="Z6"/>
  <c r="Z11" s="1"/>
  <c r="Z24" s="1"/>
  <c r="F32" i="8"/>
  <c r="E31"/>
  <c r="F62"/>
  <c r="F63" s="1"/>
  <c r="T26" i="20"/>
  <c r="T6"/>
  <c r="T11" s="1"/>
  <c r="L26"/>
  <c r="L6"/>
  <c r="L11" s="1"/>
  <c r="L24" s="1"/>
  <c r="N39" i="3"/>
  <c r="K39"/>
  <c r="R63" i="8"/>
  <c r="P63"/>
  <c r="N26" i="20"/>
  <c r="N6"/>
  <c r="N11" s="1"/>
  <c r="O39" i="3"/>
  <c r="Z63" i="8"/>
  <c r="Q39" i="3"/>
  <c r="AB63" i="8"/>
  <c r="P39" i="3"/>
  <c r="L32" i="8"/>
  <c r="K33" s="1"/>
  <c r="K31"/>
  <c r="J9" i="20"/>
  <c r="L62" i="8"/>
  <c r="M39" i="3"/>
  <c r="T63" i="8"/>
  <c r="L39" i="3"/>
  <c r="R26" i="20"/>
  <c r="R6"/>
  <c r="R11" s="1"/>
  <c r="R24" s="1"/>
  <c r="N63" i="8"/>
  <c r="I39" i="3"/>
  <c r="BI32" i="7"/>
  <c r="BI59"/>
  <c r="BJ59"/>
  <c r="BJ32"/>
  <c r="BJ60"/>
  <c r="BA59"/>
  <c r="BA60"/>
  <c r="BA32"/>
  <c r="BD59"/>
  <c r="BD60"/>
  <c r="BD32"/>
  <c r="BP32"/>
  <c r="BP60"/>
  <c r="BP59"/>
  <c r="AN32"/>
  <c r="AN59"/>
  <c r="BM32"/>
  <c r="BM60"/>
  <c r="BM59"/>
  <c r="BF59"/>
  <c r="BF32"/>
  <c r="AQ32"/>
  <c r="AQ59"/>
  <c r="AT59"/>
  <c r="AT32"/>
  <c r="AX60"/>
  <c r="AX59"/>
  <c r="AX32"/>
  <c r="AZ32"/>
  <c r="AZ59"/>
  <c r="BC32"/>
  <c r="BC59"/>
  <c r="BO59"/>
  <c r="BO32"/>
  <c r="AO59"/>
  <c r="AO60"/>
  <c r="AO32"/>
  <c r="BL32"/>
  <c r="BL59"/>
  <c r="BG32"/>
  <c r="BG60"/>
  <c r="BG59"/>
  <c r="AR59"/>
  <c r="AR60"/>
  <c r="AR32"/>
  <c r="AU60"/>
  <c r="AU32"/>
  <c r="AU59"/>
  <c r="AW32"/>
  <c r="AW59"/>
  <c r="N24" i="20" l="1"/>
  <c r="T24"/>
  <c r="BD32" i="8"/>
  <c r="BD63"/>
  <c r="BP32"/>
  <c r="BP63"/>
  <c r="BM32"/>
  <c r="BM63"/>
  <c r="BA32"/>
  <c r="BA63"/>
  <c r="BJ32"/>
  <c r="BJ63"/>
  <c r="AT32"/>
  <c r="AU30"/>
  <c r="AT62"/>
  <c r="AU62" s="1"/>
  <c r="BC32"/>
  <c r="BC62"/>
  <c r="BD62" s="1"/>
  <c r="BF32"/>
  <c r="BG30"/>
  <c r="BF62"/>
  <c r="BG62" s="1"/>
  <c r="BO32"/>
  <c r="BO62"/>
  <c r="BP62" s="1"/>
  <c r="BL32"/>
  <c r="BL62"/>
  <c r="BM62" s="1"/>
  <c r="AW32"/>
  <c r="AX30"/>
  <c r="AW62"/>
  <c r="AX62" s="1"/>
  <c r="AZ32"/>
  <c r="AZ62"/>
  <c r="BA62" s="1"/>
  <c r="BI32"/>
  <c r="BI62"/>
  <c r="BJ62" s="1"/>
  <c r="AQ32"/>
  <c r="AQ62"/>
  <c r="AR62" s="1"/>
  <c r="I57" i="3"/>
  <c r="J19" i="1"/>
  <c r="I46" i="3"/>
  <c r="I55" s="1"/>
  <c r="L46"/>
  <c r="L55" s="1"/>
  <c r="M19" i="1"/>
  <c r="L57" i="3"/>
  <c r="L63" i="8"/>
  <c r="H39" i="3"/>
  <c r="Q19" i="1"/>
  <c r="P57" i="3"/>
  <c r="P46"/>
  <c r="P55" s="1"/>
  <c r="K19" i="1"/>
  <c r="J57" i="3"/>
  <c r="J46"/>
  <c r="J55" s="1"/>
  <c r="N19" i="1"/>
  <c r="M57" i="3"/>
  <c r="M46"/>
  <c r="M55" s="1"/>
  <c r="J26" i="20"/>
  <c r="J6"/>
  <c r="J11" s="1"/>
  <c r="J24" s="1"/>
  <c r="R19" i="1"/>
  <c r="Q46" i="3"/>
  <c r="Q55" s="1"/>
  <c r="Q57"/>
  <c r="O57"/>
  <c r="P19" i="1"/>
  <c r="O46" i="3"/>
  <c r="O55" s="1"/>
  <c r="L19" i="1"/>
  <c r="K46" i="3"/>
  <c r="K55" s="1"/>
  <c r="K57"/>
  <c r="O19" i="1"/>
  <c r="N57" i="3"/>
  <c r="N46"/>
  <c r="N55" s="1"/>
  <c r="BG32" i="8" l="1"/>
  <c r="BG63"/>
  <c r="AX32"/>
  <c r="AX63"/>
  <c r="AU32"/>
  <c r="AU63"/>
  <c r="O91" i="1"/>
  <c r="O92" s="1"/>
  <c r="O84"/>
  <c r="N91"/>
  <c r="N92" s="1"/>
  <c r="N84"/>
  <c r="Q84"/>
  <c r="Q91"/>
  <c r="Q92" s="1"/>
  <c r="M91"/>
  <c r="M92" s="1"/>
  <c r="M84"/>
  <c r="L91"/>
  <c r="L92" s="1"/>
  <c r="L84"/>
  <c r="P84"/>
  <c r="P91"/>
  <c r="P92" s="1"/>
  <c r="R91"/>
  <c r="R92" s="1"/>
  <c r="R84"/>
  <c r="K91"/>
  <c r="K92" s="1"/>
  <c r="K84"/>
  <c r="H46" i="3"/>
  <c r="H55" s="1"/>
  <c r="I19" i="1"/>
  <c r="H57" i="3"/>
  <c r="J84" i="1"/>
  <c r="J91"/>
  <c r="J92" s="1"/>
  <c r="I84" l="1"/>
  <c r="I91"/>
  <c r="I92" s="1"/>
  <c r="Q29" i="2"/>
  <c r="Q39" s="1"/>
  <c r="Q41" s="1"/>
  <c r="R65" i="1" l="1"/>
  <c r="R86" s="1"/>
  <c r="R29" i="2"/>
  <c r="R39" s="1"/>
  <c r="P172" i="19"/>
  <c r="T152" s="1"/>
  <c r="R41" i="2" l="1"/>
  <c r="S65" i="1"/>
  <c r="S86" s="1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Y147" l="1"/>
  <c r="Y39"/>
  <c r="Y51"/>
  <c r="Y123"/>
  <c r="Y27"/>
  <c r="Y159"/>
  <c r="Y135"/>
  <c r="AF55" i="7" s="1"/>
  <c r="Y15" i="19"/>
  <c r="T172"/>
  <c r="Y63"/>
  <c r="Y87"/>
  <c r="Y75"/>
  <c r="Y111"/>
  <c r="Y99"/>
  <c r="Y171"/>
  <c r="F55" i="7" l="1"/>
  <c r="F57" s="1"/>
  <c r="AF57"/>
  <c r="BU55"/>
  <c r="AF55" i="8"/>
  <c r="BV55" i="7" l="1"/>
  <c r="BV57" s="1"/>
  <c r="BU57"/>
  <c r="BU59" s="1"/>
  <c r="E58"/>
  <c r="F59"/>
  <c r="F60" s="1"/>
  <c r="AF58" i="8"/>
  <c r="F55"/>
  <c r="BU55"/>
  <c r="BR55"/>
  <c r="AE58" i="7"/>
  <c r="AF59"/>
  <c r="AF60" s="1"/>
  <c r="BU60" i="8" l="1"/>
  <c r="BU62" s="1"/>
  <c r="BV62" s="1"/>
  <c r="BV55"/>
  <c r="BV60" s="1"/>
  <c r="BV63" s="1"/>
  <c r="AD16" i="20"/>
  <c r="AF60" i="8"/>
  <c r="BV59" i="7"/>
  <c r="BV60"/>
  <c r="BR60" i="8"/>
  <c r="BR62" s="1"/>
  <c r="BS62" s="1"/>
  <c r="BS55"/>
  <c r="BS60" s="1"/>
  <c r="BS63" s="1"/>
  <c r="AD28" i="20" l="1"/>
  <c r="AD12"/>
  <c r="AD17" s="1"/>
  <c r="AE61" i="8"/>
  <c r="AF62"/>
  <c r="AD24" i="20" l="1"/>
  <c r="AF63" i="8"/>
  <c r="R39" i="3"/>
  <c r="S19" i="1" s="1"/>
  <c r="S91" s="1"/>
  <c r="S92" s="1"/>
  <c r="R57" i="3" l="1"/>
  <c r="R46"/>
  <c r="R55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<sst xmlns="http://schemas.openxmlformats.org/spreadsheetml/2006/main" count="3709" uniqueCount="398">
  <si>
    <t>Wyszczególnienie</t>
  </si>
  <si>
    <t>Prognoza</t>
  </si>
  <si>
    <t>...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</si>
  <si>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</si>
  <si>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</si>
  <si>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</si>
  <si>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</si>
  <si>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</si>
  <si>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</si>
  <si>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</si>
  <si>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</si>
  <si>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</si>
  <si>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</si>
  <si>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</si>
  <si>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nadwyżki budżetowej z lat ubiegłych</t>
  </si>
  <si>
    <t>wg bilansu za 2009 r.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</si>
  <si>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</si>
  <si>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</si>
  <si>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</si>
  <si>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</si>
  <si>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</si>
  <si>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</si>
  <si>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</si>
  <si>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</si>
  <si>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</si>
  <si>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</si>
  <si>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r>
      <t>Kwota wyłączeń wynikająca z art. 243 ust. 3 pkt 1</t>
    </r>
    <r>
      <rPr>
        <sz val="10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</si>
  <si>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Art. 169 ust. 3 pkt 1</t>
    </r>
    <r>
      <rPr>
        <sz val="10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</si>
  <si>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0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</si>
  <si>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0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</si>
  <si>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0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</si>
  <si>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0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</si>
  <si>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r>
      <t>Kwota wyłączeń wynikająca z art. 169 ust. 3 pkt 1</t>
    </r>
    <r>
      <rPr>
        <sz val="10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</si>
  <si>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0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</si>
  <si>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0"/>
        <rFont val="Arial"/>
        <family val="2"/>
        <charset val="238"/>
      </rPr>
      <t xml:space="preserve"> (papiery wartościowe, kredyty i pożyczki)</t>
    </r>
  </si>
  <si>
    <r>
      <t>Kwota wyłączeń wynikająca z art. 243 ust. 3 pkt 2</t>
    </r>
    <r>
      <rPr>
        <sz val="10"/>
        <rFont val="Arial"/>
        <family val="2"/>
        <charset val="238"/>
      </rPr>
      <t xml:space="preserve"> poręczenia i gwarancje (– O)</t>
    </r>
  </si>
  <si>
    <t>(ostatni rok = ostatni rok objęty limitem wydatków na przedsięwzięcia – art. 227 ust. 1)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</si>
  <si>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</si>
  <si>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</si>
  <si>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</si>
  <si>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</si>
  <si>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</si>
  <si>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</si>
  <si>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</si>
  <si>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</si>
  <si>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</si>
  <si>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</si>
  <si>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</si>
  <si>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</si>
  <si>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</si>
  <si>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</si>
  <si>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</si>
  <si>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</si>
  <si>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</si>
  <si>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</si>
  <si>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</si>
  <si>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</si>
  <si>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</si>
  <si>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</si>
  <si>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r>
      <t>wydatki majątkowe na przedsięwzięcia, o których mowa w art. 226 ust. 4 </t>
    </r>
    <r>
      <rPr>
        <b/>
        <sz val="10"/>
        <rFont val="Arial"/>
        <family val="2"/>
        <charset val="238"/>
      </rPr>
      <t>(wg załącznika)</t>
    </r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</si>
  <si>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</si>
  <si>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</si>
  <si>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</si>
  <si>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</si>
  <si>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</si>
  <si>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</si>
  <si>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</si>
  <si>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</si>
  <si>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</si>
  <si>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</si>
  <si>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3.2.1.5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</si>
  <si>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</si>
  <si>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</si>
  <si>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</si>
  <si>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</si>
  <si>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</si>
  <si>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</si>
  <si>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</si>
  <si>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</si>
  <si>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</si>
  <si>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</si>
  <si>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</si>
  <si>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</si>
  <si>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</si>
  <si>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</si>
  <si>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</si>
  <si>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</si>
  <si>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</si>
  <si>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</si>
  <si>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</si>
  <si>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</si>
  <si>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</si>
  <si>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</si>
  <si>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</si>
  <si>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</si>
  <si>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</si>
  <si>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</si>
  <si>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</si>
  <si>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</si>
  <si>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</si>
  <si>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</si>
  <si>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</si>
  <si>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</si>
  <si>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</si>
  <si>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</si>
  <si>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</si>
  <si>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</si>
  <si>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</si>
  <si>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</si>
  <si>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</si>
  <si>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spłata kredytów</t>
  </si>
  <si>
    <t>spłata pożyczek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</si>
  <si>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</si>
  <si>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</si>
  <si>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</si>
  <si>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</si>
  <si>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</si>
  <si>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</si>
  <si>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</si>
  <si>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</si>
  <si>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</si>
  <si>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</si>
  <si>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r>
      <t>wydatki bieżące na przedsięwzięcia, o których mowa w art. 226 ust. 4 pkt 1 i 2  </t>
    </r>
    <r>
      <rPr>
        <b/>
        <sz val="10"/>
        <rFont val="Arial"/>
        <family val="2"/>
        <charset val="238"/>
      </rPr>
      <t>(wg załącznika)</t>
    </r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</si>
  <si>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</si>
  <si>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</si>
  <si>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</si>
  <si>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</si>
  <si>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</si>
  <si>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</si>
  <si>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podpis skarbnika</t>
  </si>
  <si>
    <t>Plan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</si>
  <si>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</si>
  <si>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</si>
  <si>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</si>
  <si>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</si>
  <si>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</si>
  <si>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</si>
  <si>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</si>
  <si>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</si>
  <si>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</si>
  <si>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</si>
  <si>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</si>
  <si>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</si>
  <si>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</si>
  <si>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</si>
  <si>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</si>
  <si>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</si>
  <si>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</si>
  <si>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</si>
  <si>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</si>
  <si>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</si>
  <si>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</si>
  <si>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</si>
  <si>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</si>
  <si>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</si>
  <si>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</si>
  <si>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</si>
  <si>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</si>
  <si>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</si>
  <si>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</si>
  <si>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</si>
  <si>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</si>
  <si>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Budowa miejsc parkingowych nas terenie miasta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</si>
  <si>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</si>
  <si>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</si>
  <si>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</si>
  <si>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</si>
  <si>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</si>
  <si>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</si>
  <si>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</si>
  <si>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</si>
  <si>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</si>
  <si>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</si>
  <si>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</si>
  <si>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</si>
  <si>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</si>
  <si>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</si>
  <si>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</si>
  <si>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</si>
  <si>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</si>
  <si>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</si>
  <si>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</si>
  <si>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</si>
  <si>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</si>
  <si>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</si>
  <si>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</si>
  <si>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</si>
  <si>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</si>
  <si>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</si>
  <si>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</si>
  <si>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</si>
  <si>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</si>
  <si>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</si>
  <si>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</si>
  <si>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</si>
  <si>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</si>
  <si>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</si>
  <si>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</si>
  <si>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</si>
  <si>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</si>
  <si>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</si>
  <si>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</si>
  <si>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</si>
  <si>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</si>
  <si>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</si>
  <si>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</si>
  <si>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</si>
  <si>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</si>
  <si>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</si>
  <si>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</si>
  <si>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</si>
  <si>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</si>
  <si>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</si>
  <si>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</si>
  <si>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</si>
  <si>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</si>
  <si>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</si>
  <si>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</si>
  <si>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</si>
  <si>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 xml:space="preserve">Tabela nr 2
do projektu Uchwały Nr XIV / 168 / 11 Rady Miejskiej w Świętochłowicach  z dnia 21 grudnia 2011 roku w sprawie Wieloletniej Prognozy Finansowej Miasta Świętochłowice na lata 2012–2023
</t>
  </si>
  <si>
    <t>Prognozowana kwota długu Miasta Świętochłowice na koniec  2012 oraz na lata następne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</si>
  <si>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</si>
  <si>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</si>
  <si>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</si>
  <si>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</si>
  <si>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</si>
  <si>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</si>
  <si>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</si>
  <si>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</si>
  <si>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</si>
  <si>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</si>
  <si>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</si>
  <si>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</si>
  <si>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</si>
  <si>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</si>
  <si>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</si>
  <si>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</si>
  <si>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</si>
  <si>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</si>
  <si>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</si>
  <si>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</si>
  <si>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</si>
  <si>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</si>
  <si>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</si>
  <si>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</si>
  <si>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</si>
  <si>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</si>
  <si>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</si>
  <si>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</si>
  <si>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</si>
  <si>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</si>
  <si>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</si>
  <si>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</si>
  <si>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</si>
  <si>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</si>
  <si>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</si>
  <si>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</si>
  <si>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planowane do zaciągnięcia w roku 2012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</si>
  <si>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</si>
  <si>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</si>
  <si>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</si>
  <si>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</si>
  <si>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</si>
  <si>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</si>
  <si>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 xml:space="preserve">Tabela nr 3
do Uchwały Nr XIV / 168 / 11 Rady Miejskiej w Świętochłowicach z dnia 21 grudnia 2011 roku w sprawie Wieloletniej Prognozy Finansowej Miasta Świętochłowice na lata 2012–2023
</t>
  </si>
  <si>
    <t>Planowane spłaty zobowiązań Miasta Świętochłowice w 2012 oraz latach następnych</t>
  </si>
  <si>
    <t>Nordea Bank 2010</t>
  </si>
  <si>
    <t>3.6</t>
  </si>
  <si>
    <t>planowane w 2012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</si>
  <si>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</si>
  <si>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</si>
  <si>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</si>
  <si>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</si>
  <si>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</si>
  <si>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</si>
  <si>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</si>
  <si>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</si>
  <si>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</si>
  <si>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</si>
  <si>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</si>
  <si>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</si>
  <si>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</si>
  <si>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</si>
  <si>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</si>
  <si>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</si>
  <si>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</si>
  <si>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</si>
  <si>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</si>
  <si>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Przebudowa Drogowej Trasy Średnicowej (DW902)
w Świętochłowicach</t>
  </si>
  <si>
    <r>
      <t xml:space="preserve">warunek L </t>
    </r>
    <r>
      <rPr>
        <b/>
        <sz val="14"/>
        <rFont val="Calibri"/>
        <family val="2"/>
        <charset val="238"/>
      </rPr>
      <t xml:space="preserve">≤ </t>
    </r>
    <r>
      <rPr>
        <b/>
        <sz val="10"/>
        <rFont val="Arial"/>
        <family val="2"/>
        <charset val="238"/>
      </rPr>
      <t>P</t>
    </r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</si>
  <si>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</si>
  <si>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</si>
  <si>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</si>
  <si>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</si>
  <si>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</si>
  <si>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</si>
  <si>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</si>
  <si>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</si>
  <si>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</si>
  <si>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</si>
  <si>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</si>
  <si>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</si>
  <si>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</si>
  <si>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</si>
  <si>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</si>
  <si>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</si>
  <si>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</si>
  <si>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</si>
  <si>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</si>
  <si>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</si>
  <si>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</si>
  <si>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</si>
  <si>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</si>
  <si>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</si>
  <si>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</si>
  <si>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</si>
  <si>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</si>
  <si>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</si>
  <si>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</si>
  <si>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</si>
  <si>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</si>
  <si>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</si>
  <si>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</si>
  <si>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</si>
  <si>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</si>
  <si>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</si>
  <si>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</si>
  <si>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</si>
  <si>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</si>
  <si>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</si>
  <si>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</si>
  <si>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</si>
  <si>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</si>
  <si>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</si>
  <si>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</si>
  <si>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</si>
  <si>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</si>
  <si>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</si>
  <si>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</si>
  <si>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</si>
  <si>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</si>
  <si>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</si>
  <si>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</si>
  <si>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</si>
  <si>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</si>
  <si>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</si>
  <si>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</si>
  <si>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</si>
  <si>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</si>
  <si>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</si>
  <si>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</si>
  <si>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</si>
  <si>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</si>
  <si>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</si>
  <si>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</si>
  <si>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</si>
  <si>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</si>
  <si>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</si>
  <si>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</si>
  <si>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</si>
  <si>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</si>
  <si>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</si>
  <si>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</si>
  <si>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</si>
  <si>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</si>
  <si>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</si>
  <si>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</si>
  <si>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planowane do zaciągnięcia w roku 2012 i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</si>
  <si>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</si>
  <si>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</si>
  <si>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</si>
  <si>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</si>
  <si>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</si>
  <si>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</si>
  <si>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planowane do zaciągnięcia</t>
  </si>
  <si>
    <t>Gospodarka komunalna i ochrona środowiska</t>
  </si>
  <si>
    <t>Gospodarka odpadami</t>
  </si>
  <si>
    <t>Pozostala działalność</t>
  </si>
  <si>
    <t>Urząd Miejski w Świętochłowicach                             Wydział Edukacji</t>
  </si>
  <si>
    <t>2014  -</t>
  </si>
  <si>
    <t xml:space="preserve">Rozliczenia z tytułu poręczeń i gwarancji </t>
  </si>
  <si>
    <t>Przeciwdzialanie wykluczeniu cyfrowemu na terenie Gminy Świętochłowice</t>
  </si>
  <si>
    <t>Urząd Miejski w Świętochlowicach                         Referat Informatyki</t>
  </si>
  <si>
    <t>Urząd Miejski w Świętochlowicach             Wydział Gospodarki Miejskiej i Ekologii</t>
  </si>
  <si>
    <t>Urząd Miejski w Świętochlowicach                             Wydział Dróg i Mostów</t>
  </si>
  <si>
    <t>Urząd Miejski w Świętochlowicach                                   Referat Informatyki</t>
  </si>
  <si>
    <t>Urząd Miejski w Świętochlowicach                                 Wydział Obsługi Mieszkańców</t>
  </si>
  <si>
    <t>Urząd Miejski w Świętochlowicach                  Wydział Inwestycji i Remontów</t>
  </si>
  <si>
    <t>Urząd Miejski w Świętochlowicach                          Wydział Dróg i Mostów</t>
  </si>
  <si>
    <t xml:space="preserve"> Urząd Miejski w Świętochlowicach                     Wydział Dróg i Mostów</t>
  </si>
  <si>
    <t>Urząd Miejski w Świętochlowicach                     Wydział Dróg i Mostów</t>
  </si>
  <si>
    <t>Urząd Miejski w Świętochlowicach                       Wydział Inwestycji i Remontów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</si>
  <si>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</si>
  <si>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>Budowa linii do segregacji odpadów wraz z infrastrukturą towarzyszącą na skladowisku odpadów komunalnych</t>
  </si>
  <si>
    <t>Urząd Miejski w Świętochlowicach                       Wydział Gospodarki Miejskiej i Ekologii</t>
  </si>
  <si>
    <t>Budowa odcinka ul. Imieli wraz z oświetleniem i odwodnieniem</t>
  </si>
  <si>
    <t>Załącznik nr 2 do Uchwaly Nr XVII/204/12                       Rady Miejskiej w Świętochłowicach                                                   z dnia 28 marca 2012 r.</t>
  </si>
  <si>
    <t>Załącznik Nr 1                                                                                         do Uchwaly Nr XVII/204/12                                                                 Rady Miejskiej w Świętochłowicach                                                                           z dnia 28 marca 2012 r.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</si>
</sst>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5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8"/>
      <color rgb="FF000000"/>
      <name val="Czcionka tekstu podstawowego"/>
      <charset val="238"/>
    </font>
    <font>
      <sz val="18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BEB"/>
        <bgColor rgb="FF000000"/>
      </patternFill>
    </fill>
    <fill>
      <patternFill patternType="solid">
        <fgColor rgb="FFFFEAD5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double">
        <color rgb="FF660066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double">
        <color rgb="FF660066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9" fillId="0" borderId="0"/>
    <xf numFmtId="0" fontId="39" fillId="0" borderId="0"/>
    <xf numFmtId="43" fontId="39" fillId="0" borderId="0" applyFont="0" applyFill="0" applyBorder="0" applyAlignment="0" applyProtection="0"/>
  </cellStyleXfs>
  <cellXfs count="15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Border="1"/>
    <xf numFmtId="0" fontId="2" fillId="6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left" vertical="center" wrapText="1" indent="2"/>
    </xf>
    <xf numFmtId="0" fontId="2" fillId="8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Border="1"/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" fillId="1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15" borderId="13" xfId="0" applyFont="1" applyFill="1" applyBorder="1" applyAlignment="1">
      <alignment vertical="center" wrapText="1"/>
    </xf>
    <xf numFmtId="0" fontId="4" fillId="16" borderId="0" xfId="0" applyFont="1" applyFill="1" applyAlignment="1">
      <alignment vertical="center"/>
    </xf>
    <xf numFmtId="0" fontId="5" fillId="16" borderId="13" xfId="0" applyFont="1" applyFill="1" applyBorder="1" applyAlignment="1">
      <alignment vertical="center" wrapText="1"/>
    </xf>
    <xf numFmtId="4" fontId="1" fillId="0" borderId="0" xfId="0" applyNumberFormat="1" applyFont="1"/>
    <xf numFmtId="4" fontId="2" fillId="0" borderId="14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9" borderId="12" xfId="0" applyNumberFormat="1" applyFont="1" applyFill="1" applyBorder="1" applyAlignment="1">
      <alignment vertical="center" wrapText="1"/>
    </xf>
    <xf numFmtId="4" fontId="1" fillId="12" borderId="1" xfId="0" applyNumberFormat="1" applyFont="1" applyFill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13" borderId="2" xfId="0" applyNumberFormat="1" applyFont="1" applyFill="1" applyBorder="1" applyAlignment="1">
      <alignment vertical="center" wrapText="1"/>
    </xf>
    <xf numFmtId="4" fontId="1" fillId="14" borderId="12" xfId="0" applyNumberFormat="1" applyFont="1" applyFill="1" applyBorder="1" applyAlignment="1">
      <alignment vertical="center" wrapText="1"/>
    </xf>
    <xf numFmtId="4" fontId="1" fillId="15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4" fillId="16" borderId="0" xfId="0" applyNumberFormat="1" applyFont="1" applyFill="1" applyAlignment="1">
      <alignment vertical="center"/>
    </xf>
    <xf numFmtId="4" fontId="4" fillId="16" borderId="1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13" borderId="13" xfId="0" applyFont="1" applyFill="1" applyBorder="1" applyAlignment="1">
      <alignment vertical="center" wrapText="1"/>
    </xf>
    <xf numFmtId="0" fontId="2" fillId="14" borderId="13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4" fillId="16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2"/>
    </xf>
    <xf numFmtId="4" fontId="3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2" fillId="17" borderId="13" xfId="0" applyFont="1" applyFill="1" applyBorder="1" applyAlignment="1">
      <alignment vertical="center" wrapText="1"/>
    </xf>
    <xf numFmtId="4" fontId="1" fillId="17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18" borderId="7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4" fontId="1" fillId="19" borderId="0" xfId="0" applyNumberFormat="1" applyFont="1" applyFill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16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 wrapText="1"/>
    </xf>
    <xf numFmtId="4" fontId="1" fillId="4" borderId="13" xfId="0" applyNumberFormat="1" applyFont="1" applyFill="1" applyBorder="1" applyAlignment="1">
      <alignment vertical="center" wrapText="1"/>
    </xf>
    <xf numFmtId="4" fontId="1" fillId="6" borderId="13" xfId="0" applyNumberFormat="1" applyFont="1" applyFill="1" applyBorder="1" applyAlignment="1">
      <alignment vertical="center" wrapText="1"/>
    </xf>
    <xf numFmtId="4" fontId="1" fillId="8" borderId="13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2" fillId="13" borderId="11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" fillId="13" borderId="11" xfId="0" applyNumberFormat="1" applyFont="1" applyFill="1" applyBorder="1" applyAlignment="1">
      <alignment vertical="center" wrapText="1"/>
    </xf>
    <xf numFmtId="4" fontId="1" fillId="15" borderId="13" xfId="0" applyNumberFormat="1" applyFont="1" applyFill="1" applyBorder="1" applyAlignment="1">
      <alignment vertical="center" wrapText="1"/>
    </xf>
    <xf numFmtId="4" fontId="3" fillId="7" borderId="13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6" fillId="29" borderId="3" xfId="0" applyFont="1" applyFill="1" applyBorder="1" applyAlignment="1">
      <alignment horizontal="center" vertical="center" wrapText="1"/>
    </xf>
    <xf numFmtId="0" fontId="16" fillId="29" borderId="12" xfId="0" applyFont="1" applyFill="1" applyBorder="1" applyAlignment="1">
      <alignment horizontal="center" vertical="center" wrapText="1"/>
    </xf>
    <xf numFmtId="0" fontId="16" fillId="29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3" fontId="16" fillId="22" borderId="3" xfId="0" applyNumberFormat="1" applyFont="1" applyFill="1" applyBorder="1" applyAlignment="1">
      <alignment vertical="center" wrapText="1"/>
    </xf>
    <xf numFmtId="43" fontId="16" fillId="22" borderId="12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 horizontal="center" vertical="center"/>
    </xf>
    <xf numFmtId="3" fontId="16" fillId="22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3" fontId="16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20" borderId="1" xfId="0" applyFont="1" applyFill="1" applyBorder="1" applyAlignment="1" applyProtection="1">
      <alignment vertical="center"/>
      <protection hidden="1"/>
    </xf>
    <xf numFmtId="0" fontId="1" fillId="20" borderId="13" xfId="0" applyFont="1" applyFill="1" applyBorder="1" applyAlignment="1" applyProtection="1">
      <alignment vertical="center" wrapText="1"/>
      <protection hidden="1"/>
    </xf>
    <xf numFmtId="4" fontId="1" fillId="20" borderId="13" xfId="0" applyNumberFormat="1" applyFont="1" applyFill="1" applyBorder="1" applyAlignment="1" applyProtection="1">
      <alignment vertical="center" wrapText="1"/>
      <protection hidden="1"/>
    </xf>
    <xf numFmtId="4" fontId="1" fillId="20" borderId="1" xfId="0" applyNumberFormat="1" applyFont="1" applyFill="1" applyBorder="1" applyAlignment="1" applyProtection="1">
      <alignment vertical="center" wrapText="1"/>
      <protection hidden="1"/>
    </xf>
    <xf numFmtId="164" fontId="1" fillId="20" borderId="1" xfId="0" applyNumberFormat="1" applyFont="1" applyFill="1" applyBorder="1" applyAlignment="1" applyProtection="1">
      <alignment vertical="center" wrapText="1"/>
      <protection hidden="1"/>
    </xf>
    <xf numFmtId="4" fontId="1" fillId="0" borderId="1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4" fontId="1" fillId="0" borderId="0" xfId="0" applyNumberFormat="1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4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Protection="1"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Protection="1"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2" fillId="10" borderId="11" xfId="0" applyFont="1" applyFill="1" applyBorder="1" applyAlignment="1" applyProtection="1">
      <alignment vertical="center" wrapText="1"/>
      <protection hidden="1"/>
    </xf>
    <xf numFmtId="4" fontId="1" fillId="10" borderId="2" xfId="0" applyNumberFormat="1" applyFont="1" applyFill="1" applyBorder="1" applyAlignment="1" applyProtection="1">
      <alignment vertical="center" wrapText="1"/>
      <protection hidden="1"/>
    </xf>
    <xf numFmtId="0" fontId="2" fillId="10" borderId="13" xfId="0" applyFont="1" applyFill="1" applyBorder="1" applyAlignment="1" applyProtection="1">
      <alignment vertical="center" wrapText="1"/>
      <protection hidden="1"/>
    </xf>
    <xf numFmtId="4" fontId="1" fillId="10" borderId="1" xfId="0" applyNumberFormat="1" applyFont="1" applyFill="1" applyBorder="1" applyAlignment="1" applyProtection="1">
      <alignment vertical="center" wrapText="1"/>
      <protection hidden="1"/>
    </xf>
    <xf numFmtId="0" fontId="1" fillId="11" borderId="1" xfId="0" applyFont="1" applyFill="1" applyBorder="1" applyAlignment="1" applyProtection="1">
      <alignment vertical="center"/>
      <protection hidden="1"/>
    </xf>
    <xf numFmtId="0" fontId="2" fillId="11" borderId="6" xfId="0" applyFont="1" applyFill="1" applyBorder="1" applyAlignment="1" applyProtection="1">
      <alignment vertical="center" wrapText="1"/>
      <protection hidden="1"/>
    </xf>
    <xf numFmtId="4" fontId="1" fillId="11" borderId="3" xfId="0" applyNumberFormat="1" applyFont="1" applyFill="1" applyBorder="1" applyAlignment="1" applyProtection="1">
      <alignment vertical="center" wrapText="1"/>
      <protection hidden="1"/>
    </xf>
    <xf numFmtId="4" fontId="3" fillId="0" borderId="1" xfId="0" applyNumberFormat="1" applyFont="1" applyFill="1" applyBorder="1" applyAlignment="1" applyProtection="1">
      <alignment vertical="center" wrapText="1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4" fontId="1" fillId="3" borderId="11" xfId="0" applyNumberFormat="1" applyFont="1" applyFill="1" applyBorder="1" applyAlignment="1" applyProtection="1">
      <alignment vertical="center" wrapText="1"/>
      <protection hidden="1"/>
    </xf>
    <xf numFmtId="4" fontId="1" fillId="4" borderId="13" xfId="0" applyNumberFormat="1" applyFont="1" applyFill="1" applyBorder="1" applyAlignment="1" applyProtection="1">
      <alignment vertical="center" wrapText="1"/>
      <protection hidden="1"/>
    </xf>
    <xf numFmtId="4" fontId="1" fillId="0" borderId="13" xfId="0" applyNumberFormat="1" applyFont="1" applyFill="1" applyBorder="1" applyAlignment="1" applyProtection="1">
      <alignment vertical="center" wrapText="1"/>
      <protection hidden="1"/>
    </xf>
    <xf numFmtId="4" fontId="3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1" fillId="10" borderId="9" xfId="0" applyNumberFormat="1" applyFont="1" applyFill="1" applyBorder="1" applyAlignment="1" applyProtection="1">
      <alignment vertical="center" wrapText="1"/>
      <protection hidden="1"/>
    </xf>
    <xf numFmtId="4" fontId="1" fillId="10" borderId="15" xfId="0" applyNumberFormat="1" applyFont="1" applyFill="1" applyBorder="1" applyAlignment="1" applyProtection="1">
      <alignment vertical="center" wrapText="1"/>
      <protection hidden="1"/>
    </xf>
    <xf numFmtId="4" fontId="1" fillId="11" borderId="4" xfId="0" applyNumberFormat="1" applyFont="1" applyFill="1" applyBorder="1" applyAlignment="1" applyProtection="1">
      <alignment vertical="center" wrapText="1"/>
      <protection hidden="1"/>
    </xf>
    <xf numFmtId="4" fontId="1" fillId="10" borderId="11" xfId="0" applyNumberFormat="1" applyFont="1" applyFill="1" applyBorder="1" applyAlignment="1" applyProtection="1">
      <alignment vertical="center" wrapText="1"/>
      <protection hidden="1"/>
    </xf>
    <xf numFmtId="4" fontId="1" fillId="10" borderId="13" xfId="0" applyNumberFormat="1" applyFont="1" applyFill="1" applyBorder="1" applyAlignment="1" applyProtection="1">
      <alignment vertical="center" wrapText="1"/>
      <protection hidden="1"/>
    </xf>
    <xf numFmtId="4" fontId="1" fillId="11" borderId="6" xfId="0" applyNumberFormat="1" applyFont="1" applyFill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1" fillId="10" borderId="62" xfId="0" applyNumberFormat="1" applyFont="1" applyFill="1" applyBorder="1" applyAlignment="1" applyProtection="1">
      <alignment vertical="center" wrapText="1"/>
      <protection hidden="1"/>
    </xf>
    <xf numFmtId="4" fontId="1" fillId="10" borderId="63" xfId="0" applyNumberFormat="1" applyFont="1" applyFill="1" applyBorder="1" applyAlignment="1" applyProtection="1">
      <alignment vertical="center" wrapText="1"/>
      <protection hidden="1"/>
    </xf>
    <xf numFmtId="4" fontId="1" fillId="11" borderId="69" xfId="0" applyNumberFormat="1" applyFont="1" applyFill="1" applyBorder="1" applyAlignment="1" applyProtection="1">
      <alignment vertical="center" wrapText="1"/>
      <protection hidden="1"/>
    </xf>
    <xf numFmtId="4" fontId="1" fillId="3" borderId="9" xfId="0" applyNumberFormat="1" applyFont="1" applyFill="1" applyBorder="1" applyAlignment="1" applyProtection="1">
      <alignment vertical="center" wrapText="1"/>
      <protection hidden="1"/>
    </xf>
    <xf numFmtId="4" fontId="1" fillId="4" borderId="15" xfId="0" applyNumberFormat="1" applyFont="1" applyFill="1" applyBorder="1" applyAlignment="1" applyProtection="1">
      <alignment vertical="center" wrapText="1"/>
      <protection hidden="1"/>
    </xf>
    <xf numFmtId="4" fontId="1" fillId="0" borderId="15" xfId="0" applyNumberFormat="1" applyFont="1" applyFill="1" applyBorder="1" applyAlignment="1" applyProtection="1">
      <alignment vertical="center" wrapText="1"/>
      <protection hidden="1"/>
    </xf>
    <xf numFmtId="4" fontId="3" fillId="0" borderId="15" xfId="0" applyNumberFormat="1" applyFont="1" applyFill="1" applyBorder="1" applyAlignment="1" applyProtection="1">
      <alignment vertical="center" wrapText="1"/>
      <protection hidden="1"/>
    </xf>
    <xf numFmtId="4" fontId="1" fillId="20" borderId="15" xfId="0" applyNumberFormat="1" applyFont="1" applyFill="1" applyBorder="1" applyAlignment="1" applyProtection="1">
      <alignment vertical="center" wrapText="1"/>
      <protection hidden="1"/>
    </xf>
    <xf numFmtId="4" fontId="3" fillId="0" borderId="13" xfId="0" applyNumberFormat="1" applyFont="1" applyFill="1" applyBorder="1" applyAlignment="1" applyProtection="1">
      <alignment vertical="center" wrapText="1"/>
      <protection hidden="1"/>
    </xf>
    <xf numFmtId="164" fontId="1" fillId="20" borderId="13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Border="1" applyAlignment="1">
      <alignment horizontal="center" vertical="center" wrapText="1"/>
    </xf>
    <xf numFmtId="4" fontId="1" fillId="3" borderId="62" xfId="0" applyNumberFormat="1" applyFont="1" applyFill="1" applyBorder="1" applyAlignment="1">
      <alignment vertical="center" wrapText="1"/>
    </xf>
    <xf numFmtId="4" fontId="1" fillId="4" borderId="63" xfId="0" applyNumberFormat="1" applyFont="1" applyFill="1" applyBorder="1" applyAlignment="1">
      <alignment vertical="center" wrapText="1"/>
    </xf>
    <xf numFmtId="4" fontId="1" fillId="0" borderId="63" xfId="0" applyNumberFormat="1" applyFont="1" applyFill="1" applyBorder="1" applyAlignment="1">
      <alignment vertical="center" wrapText="1"/>
    </xf>
    <xf numFmtId="4" fontId="3" fillId="0" borderId="63" xfId="0" applyNumberFormat="1" applyFont="1" applyFill="1" applyBorder="1" applyAlignment="1">
      <alignment vertical="center" wrapText="1"/>
    </xf>
    <xf numFmtId="164" fontId="1" fillId="20" borderId="63" xfId="0" applyNumberFormat="1" applyFont="1" applyFill="1" applyBorder="1" applyAlignment="1" applyProtection="1">
      <alignment vertical="center" wrapText="1"/>
      <protection hidden="1"/>
    </xf>
    <xf numFmtId="4" fontId="1" fillId="20" borderId="69" xfId="0" applyNumberFormat="1" applyFont="1" applyFill="1" applyBorder="1" applyAlignment="1" applyProtection="1">
      <alignment vertical="center" wrapText="1"/>
      <protection hidden="1"/>
    </xf>
    <xf numFmtId="4" fontId="1" fillId="12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12" borderId="13" xfId="0" applyNumberFormat="1" applyFont="1" applyFill="1" applyBorder="1" applyAlignment="1">
      <alignment vertical="center" wrapText="1"/>
    </xf>
    <xf numFmtId="4" fontId="1" fillId="12" borderId="62" xfId="0" applyNumberFormat="1" applyFont="1" applyFill="1" applyBorder="1" applyAlignment="1">
      <alignment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9" borderId="7" xfId="0" applyNumberFormat="1" applyFont="1" applyFill="1" applyBorder="1" applyAlignment="1">
      <alignment vertical="center" wrapText="1"/>
    </xf>
    <xf numFmtId="4" fontId="1" fillId="9" borderId="8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9" borderId="73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8" xfId="0" applyNumberFormat="1" applyFont="1" applyFill="1" applyBorder="1" applyAlignment="1">
      <alignment vertical="center" wrapText="1"/>
    </xf>
    <xf numFmtId="4" fontId="1" fillId="5" borderId="73" xfId="0" applyNumberFormat="1" applyFont="1" applyFill="1" applyBorder="1" applyAlignment="1">
      <alignment vertical="center" wrapText="1"/>
    </xf>
    <xf numFmtId="4" fontId="1" fillId="6" borderId="15" xfId="0" applyNumberFormat="1" applyFont="1" applyFill="1" applyBorder="1" applyAlignment="1">
      <alignment vertical="center" wrapText="1"/>
    </xf>
    <xf numFmtId="4" fontId="1" fillId="7" borderId="15" xfId="0" applyNumberFormat="1" applyFont="1" applyFill="1" applyBorder="1" applyAlignment="1">
      <alignment vertical="center" wrapText="1"/>
    </xf>
    <xf numFmtId="4" fontId="1" fillId="8" borderId="15" xfId="0" applyNumberFormat="1" applyFont="1" applyFill="1" applyBorder="1" applyAlignment="1">
      <alignment vertical="center" wrapText="1"/>
    </xf>
    <xf numFmtId="4" fontId="1" fillId="7" borderId="13" xfId="0" applyNumberFormat="1" applyFont="1" applyFill="1" applyBorder="1" applyAlignment="1">
      <alignment vertical="center" wrapText="1"/>
    </xf>
    <xf numFmtId="4" fontId="1" fillId="6" borderId="62" xfId="0" applyNumberFormat="1" applyFont="1" applyFill="1" applyBorder="1" applyAlignment="1">
      <alignment vertical="center" wrapText="1"/>
    </xf>
    <xf numFmtId="4" fontId="1" fillId="7" borderId="63" xfId="0" applyNumberFormat="1" applyFont="1" applyFill="1" applyBorder="1" applyAlignment="1">
      <alignment vertical="center" wrapText="1"/>
    </xf>
    <xf numFmtId="4" fontId="1" fillId="8" borderId="63" xfId="0" applyNumberFormat="1" applyFont="1" applyFill="1" applyBorder="1" applyAlignment="1">
      <alignment vertical="center" wrapText="1"/>
    </xf>
    <xf numFmtId="4" fontId="1" fillId="13" borderId="9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13" borderId="62" xfId="0" applyNumberFormat="1" applyFont="1" applyFill="1" applyBorder="1" applyAlignment="1">
      <alignment vertical="center" wrapText="1"/>
    </xf>
    <xf numFmtId="4" fontId="1" fillId="14" borderId="7" xfId="0" applyNumberFormat="1" applyFont="1" applyFill="1" applyBorder="1" applyAlignment="1">
      <alignment vertical="center" wrapText="1"/>
    </xf>
    <xf numFmtId="4" fontId="1" fillId="14" borderId="8" xfId="0" applyNumberFormat="1" applyFont="1" applyFill="1" applyBorder="1" applyAlignment="1">
      <alignment vertical="center" wrapText="1"/>
    </xf>
    <xf numFmtId="4" fontId="1" fillId="14" borderId="73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17" borderId="15" xfId="0" applyNumberFormat="1" applyFont="1" applyFill="1" applyBorder="1" applyAlignment="1">
      <alignment vertical="center" wrapText="1"/>
    </xf>
    <xf numFmtId="4" fontId="1" fillId="17" borderId="13" xfId="0" applyNumberFormat="1" applyFont="1" applyFill="1" applyBorder="1" applyAlignment="1">
      <alignment vertical="center" wrapText="1"/>
    </xf>
    <xf numFmtId="4" fontId="1" fillId="0" borderId="62" xfId="0" applyNumberFormat="1" applyFont="1" applyFill="1" applyBorder="1" applyAlignment="1">
      <alignment vertical="center" wrapText="1"/>
    </xf>
    <xf numFmtId="4" fontId="1" fillId="0" borderId="74" xfId="0" applyNumberFormat="1" applyFont="1" applyFill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4" fontId="1" fillId="17" borderId="69" xfId="0" applyNumberFormat="1" applyFont="1" applyFill="1" applyBorder="1" applyAlignment="1">
      <alignment vertical="center" wrapText="1"/>
    </xf>
    <xf numFmtId="4" fontId="1" fillId="15" borderId="15" xfId="0" applyNumberFormat="1" applyFont="1" applyFill="1" applyBorder="1" applyAlignment="1">
      <alignment vertical="center" wrapText="1"/>
    </xf>
    <xf numFmtId="4" fontId="1" fillId="15" borderId="73" xfId="0" applyNumberFormat="1" applyFont="1" applyFill="1" applyBorder="1" applyAlignment="1">
      <alignment vertical="center" wrapText="1"/>
    </xf>
    <xf numFmtId="4" fontId="1" fillId="0" borderId="75" xfId="0" applyNumberFormat="1" applyFont="1" applyFill="1" applyBorder="1" applyAlignment="1">
      <alignment vertical="center" wrapText="1"/>
    </xf>
    <xf numFmtId="4" fontId="1" fillId="0" borderId="7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62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6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19" borderId="0" xfId="0" applyFont="1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165" fontId="1" fillId="0" borderId="62" xfId="0" applyNumberFormat="1" applyFont="1" applyBorder="1" applyAlignment="1" applyProtection="1">
      <alignment horizontal="center" vertical="center" wrapText="1"/>
      <protection hidden="1"/>
    </xf>
    <xf numFmtId="165" fontId="1" fillId="0" borderId="69" xfId="0" applyNumberFormat="1" applyFont="1" applyBorder="1" applyAlignment="1" applyProtection="1">
      <alignment horizontal="center" vertical="center" wrapText="1"/>
      <protection hidden="1"/>
    </xf>
    <xf numFmtId="4" fontId="1" fillId="0" borderId="78" xfId="0" applyNumberFormat="1" applyFont="1" applyFill="1" applyBorder="1" applyAlignment="1">
      <alignment vertical="center" wrapText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2" fillId="22" borderId="0" xfId="0" applyFont="1" applyFill="1" applyBorder="1" applyAlignment="1" applyProtection="1">
      <alignment horizontal="center" vertical="center"/>
      <protection hidden="1"/>
    </xf>
    <xf numFmtId="0" fontId="12" fillId="22" borderId="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22" borderId="0" xfId="0" applyFont="1" applyFill="1" applyBorder="1" applyAlignment="1" applyProtection="1">
      <alignment horizontal="right" vertical="center"/>
      <protection hidden="1"/>
    </xf>
    <xf numFmtId="0" fontId="11" fillId="22" borderId="0" xfId="0" applyFont="1" applyFill="1" applyBorder="1" applyAlignment="1" applyProtection="1">
      <alignment horizontal="center" vertical="center" wrapText="1"/>
      <protection hidden="1"/>
    </xf>
    <xf numFmtId="0" fontId="11" fillId="22" borderId="0" xfId="0" applyFont="1" applyFill="1" applyBorder="1" applyAlignment="1" applyProtection="1">
      <alignment horizontal="center" vertical="center" wrapText="1" shrinkToFit="1"/>
      <protection hidden="1"/>
    </xf>
    <xf numFmtId="0" fontId="12" fillId="22" borderId="0" xfId="0" applyFont="1" applyFill="1" applyBorder="1" applyAlignment="1" applyProtection="1">
      <alignment horizontal="center"/>
      <protection hidden="1"/>
    </xf>
    <xf numFmtId="0" fontId="12" fillId="22" borderId="0" xfId="0" applyFont="1" applyFill="1" applyBorder="1" applyAlignment="1" applyProtection="1">
      <alignment horizontal="right"/>
      <protection hidden="1"/>
    </xf>
    <xf numFmtId="0" fontId="12" fillId="22" borderId="0" xfId="0" applyFont="1" applyFill="1" applyBorder="1" applyAlignment="1" applyProtection="1">
      <alignment horizontal="center" vertical="center" wrapText="1"/>
      <protection hidden="1"/>
    </xf>
    <xf numFmtId="43" fontId="11" fillId="22" borderId="0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0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0" xfId="0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39" fontId="12" fillId="22" borderId="0" xfId="0" applyNumberFormat="1" applyFont="1" applyFill="1" applyBorder="1" applyAlignment="1" applyProtection="1">
      <alignment horizontal="left" vertical="center" wrapText="1"/>
      <protection hidden="1"/>
    </xf>
    <xf numFmtId="39" fontId="12" fillId="22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3" fontId="12" fillId="0" borderId="0" xfId="0" applyNumberFormat="1" applyFont="1" applyBorder="1" applyProtection="1">
      <protection hidden="1"/>
    </xf>
    <xf numFmtId="3" fontId="12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Protection="1">
      <protection hidden="1"/>
    </xf>
    <xf numFmtId="0" fontId="18" fillId="31" borderId="62" xfId="0" applyFont="1" applyFill="1" applyBorder="1" applyAlignment="1" applyProtection="1">
      <alignment horizontal="center" vertical="center" wrapText="1"/>
      <protection hidden="1"/>
    </xf>
    <xf numFmtId="0" fontId="18" fillId="31" borderId="13" xfId="0" applyFont="1" applyFill="1" applyBorder="1" applyAlignment="1" applyProtection="1">
      <alignment horizontal="center" vertical="center" wrapText="1"/>
      <protection hidden="1"/>
    </xf>
    <xf numFmtId="0" fontId="18" fillId="31" borderId="1" xfId="0" applyFont="1" applyFill="1" applyBorder="1" applyAlignment="1" applyProtection="1">
      <alignment horizontal="center" vertical="center" wrapText="1"/>
      <protection hidden="1"/>
    </xf>
    <xf numFmtId="0" fontId="18" fillId="32" borderId="61" xfId="0" applyFont="1" applyFill="1" applyBorder="1" applyAlignment="1" applyProtection="1">
      <alignment horizontal="center" vertical="center" wrapText="1"/>
      <protection hidden="1"/>
    </xf>
    <xf numFmtId="0" fontId="18" fillId="32" borderId="1" xfId="0" applyFont="1" applyFill="1" applyBorder="1" applyAlignment="1" applyProtection="1">
      <alignment horizontal="center" vertical="center" wrapText="1"/>
      <protection hidden="1"/>
    </xf>
    <xf numFmtId="4" fontId="18" fillId="32" borderId="63" xfId="0" applyNumberFormat="1" applyFont="1" applyFill="1" applyBorder="1" applyAlignment="1" applyProtection="1">
      <alignment vertical="center" wrapText="1"/>
      <protection hidden="1"/>
    </xf>
    <xf numFmtId="4" fontId="18" fillId="32" borderId="13" xfId="0" applyNumberFormat="1" applyFont="1" applyFill="1" applyBorder="1" applyAlignment="1" applyProtection="1">
      <alignment vertical="center" wrapText="1"/>
      <protection hidden="1"/>
    </xf>
    <xf numFmtId="4" fontId="18" fillId="32" borderId="1" xfId="0" applyNumberFormat="1" applyFont="1" applyFill="1" applyBorder="1" applyAlignment="1" applyProtection="1">
      <alignment vertical="center" wrapText="1"/>
      <protection hidden="1"/>
    </xf>
    <xf numFmtId="4" fontId="18" fillId="32" borderId="64" xfId="0" applyNumberFormat="1" applyFont="1" applyFill="1" applyBorder="1" applyAlignment="1" applyProtection="1">
      <alignment vertical="center" wrapText="1"/>
      <protection hidden="1"/>
    </xf>
    <xf numFmtId="4" fontId="18" fillId="32" borderId="0" xfId="0" applyNumberFormat="1" applyFont="1" applyFill="1" applyBorder="1" applyAlignment="1" applyProtection="1">
      <alignment vertical="center" wrapText="1"/>
      <protection hidden="1"/>
    </xf>
    <xf numFmtId="0" fontId="18" fillId="33" borderId="61" xfId="0" applyFont="1" applyFill="1" applyBorder="1" applyAlignment="1" applyProtection="1">
      <alignment horizontal="left" vertical="center"/>
      <protection hidden="1"/>
    </xf>
    <xf numFmtId="0" fontId="18" fillId="33" borderId="1" xfId="0" applyFont="1" applyFill="1" applyBorder="1" applyAlignment="1" applyProtection="1">
      <alignment vertical="center" wrapText="1"/>
      <protection hidden="1"/>
    </xf>
    <xf numFmtId="166" fontId="18" fillId="33" borderId="65" xfId="0" applyNumberFormat="1" applyFont="1" applyFill="1" applyBorder="1" applyAlignment="1" applyProtection="1">
      <alignment horizontal="right" vertical="center"/>
      <protection hidden="1"/>
    </xf>
    <xf numFmtId="0" fontId="18" fillId="22" borderId="61" xfId="0" applyFont="1" applyFill="1" applyBorder="1" applyAlignment="1" applyProtection="1">
      <alignment horizontal="left" vertical="center"/>
      <protection hidden="1"/>
    </xf>
    <xf numFmtId="0" fontId="18" fillId="0" borderId="1" xfId="0" applyFont="1" applyBorder="1" applyProtection="1">
      <protection hidden="1"/>
    </xf>
    <xf numFmtId="166" fontId="18" fillId="22" borderId="1" xfId="0" applyNumberFormat="1" applyFont="1" applyFill="1" applyBorder="1" applyAlignment="1" applyProtection="1">
      <alignment horizontal="right" vertical="center"/>
      <protection hidden="1"/>
    </xf>
    <xf numFmtId="0" fontId="18" fillId="22" borderId="1" xfId="0" applyNumberFormat="1" applyFont="1" applyFill="1" applyBorder="1" applyAlignment="1" applyProtection="1">
      <alignment horizontal="center" vertical="center"/>
      <protection hidden="1"/>
    </xf>
    <xf numFmtId="0" fontId="18" fillId="22" borderId="1" xfId="0" applyFont="1" applyFill="1" applyBorder="1" applyAlignment="1" applyProtection="1">
      <alignment vertical="center" wrapText="1"/>
      <protection hidden="1"/>
    </xf>
    <xf numFmtId="0" fontId="20" fillId="22" borderId="1" xfId="0" applyFont="1" applyFill="1" applyBorder="1" applyAlignment="1" applyProtection="1">
      <alignment vertical="center" wrapText="1"/>
      <protection hidden="1"/>
    </xf>
    <xf numFmtId="0" fontId="21" fillId="0" borderId="0" xfId="0" applyFont="1" applyBorder="1" applyProtection="1">
      <protection hidden="1"/>
    </xf>
    <xf numFmtId="0" fontId="21" fillId="33" borderId="61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0" fontId="18" fillId="34" borderId="61" xfId="0" applyFont="1" applyFill="1" applyBorder="1" applyAlignment="1" applyProtection="1">
      <alignment horizontal="left" vertical="center"/>
      <protection hidden="1"/>
    </xf>
    <xf numFmtId="0" fontId="20" fillId="34" borderId="1" xfId="0" applyFont="1" applyFill="1" applyBorder="1" applyAlignment="1" applyProtection="1">
      <alignment vertical="center" wrapText="1"/>
      <protection hidden="1"/>
    </xf>
    <xf numFmtId="0" fontId="18" fillId="33" borderId="1" xfId="0" applyFont="1" applyFill="1" applyBorder="1" applyAlignment="1" applyProtection="1">
      <alignment vertical="center"/>
      <protection hidden="1"/>
    </xf>
    <xf numFmtId="0" fontId="18" fillId="33" borderId="65" xfId="0" applyFont="1" applyFill="1" applyBorder="1" applyAlignment="1" applyProtection="1">
      <alignment vertical="center"/>
      <protection hidden="1"/>
    </xf>
    <xf numFmtId="4" fontId="18" fillId="33" borderId="63" xfId="0" applyNumberFormat="1" applyFont="1" applyFill="1" applyBorder="1" applyAlignment="1" applyProtection="1">
      <alignment vertical="center"/>
      <protection hidden="1"/>
    </xf>
    <xf numFmtId="4" fontId="18" fillId="33" borderId="13" xfId="0" applyNumberFormat="1" applyFont="1" applyFill="1" applyBorder="1" applyAlignment="1" applyProtection="1">
      <alignment vertical="center"/>
      <protection hidden="1"/>
    </xf>
    <xf numFmtId="4" fontId="18" fillId="33" borderId="1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5" xfId="0" applyFont="1" applyFill="1" applyBorder="1" applyAlignment="1" applyProtection="1">
      <alignment horizontal="left" vertical="center"/>
      <protection hidden="1"/>
    </xf>
    <xf numFmtId="0" fontId="18" fillId="0" borderId="5" xfId="0" applyFont="1" applyFill="1" applyBorder="1" applyAlignment="1" applyProtection="1">
      <alignment vertical="center" wrapText="1"/>
      <protection hidden="1"/>
    </xf>
    <xf numFmtId="0" fontId="18" fillId="0" borderId="5" xfId="0" applyFont="1" applyFill="1" applyBorder="1" applyAlignment="1" applyProtection="1">
      <alignment vertical="center"/>
      <protection hidden="1"/>
    </xf>
    <xf numFmtId="4" fontId="18" fillId="0" borderId="5" xfId="0" applyNumberFormat="1" applyFont="1" applyFill="1" applyBorder="1" applyAlignment="1" applyProtection="1">
      <alignment vertical="center"/>
      <protection hidden="1"/>
    </xf>
    <xf numFmtId="0" fontId="18" fillId="33" borderId="66" xfId="0" applyFont="1" applyFill="1" applyBorder="1" applyAlignment="1" applyProtection="1">
      <alignment horizontal="left" vertical="center"/>
      <protection hidden="1"/>
    </xf>
    <xf numFmtId="0" fontId="18" fillId="33" borderId="67" xfId="0" applyFont="1" applyFill="1" applyBorder="1" applyAlignment="1" applyProtection="1">
      <alignment vertical="center" wrapText="1"/>
      <protection hidden="1"/>
    </xf>
    <xf numFmtId="0" fontId="18" fillId="33" borderId="68" xfId="0" applyFont="1" applyFill="1" applyBorder="1" applyAlignment="1" applyProtection="1">
      <alignment vertical="center"/>
      <protection hidden="1"/>
    </xf>
    <xf numFmtId="4" fontId="18" fillId="33" borderId="69" xfId="0" applyNumberFormat="1" applyFont="1" applyFill="1" applyBorder="1" applyAlignment="1" applyProtection="1">
      <alignment vertical="center"/>
      <protection hidden="1"/>
    </xf>
    <xf numFmtId="4" fontId="18" fillId="33" borderId="70" xfId="0" applyNumberFormat="1" applyFont="1" applyFill="1" applyBorder="1" applyAlignment="1" applyProtection="1">
      <alignment vertical="center"/>
      <protection hidden="1"/>
    </xf>
    <xf numFmtId="4" fontId="18" fillId="33" borderId="67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4" fontId="18" fillId="0" borderId="0" xfId="0" applyNumberFormat="1" applyFont="1" applyFill="1" applyBorder="1" applyAlignment="1" applyProtection="1">
      <alignment vertical="center"/>
      <protection hidden="1"/>
    </xf>
    <xf numFmtId="166" fontId="18" fillId="0" borderId="0" xfId="0" applyNumberFormat="1" applyFont="1" applyBorder="1" applyAlignment="1" applyProtection="1">
      <alignment horizontal="right"/>
      <protection hidden="1"/>
    </xf>
    <xf numFmtId="0" fontId="18" fillId="31" borderId="1" xfId="0" applyNumberFormat="1" applyFont="1" applyFill="1" applyBorder="1" applyAlignment="1" applyProtection="1">
      <alignment horizontal="right" vertical="center" wrapText="1"/>
      <protection hidden="1"/>
    </xf>
    <xf numFmtId="166" fontId="18" fillId="32" borderId="1" xfId="0" applyNumberFormat="1" applyFont="1" applyFill="1" applyBorder="1" applyAlignment="1" applyProtection="1">
      <alignment horizontal="right" vertical="center" wrapText="1"/>
      <protection hidden="1"/>
    </xf>
    <xf numFmtId="166" fontId="18" fillId="32" borderId="64" xfId="0" applyNumberFormat="1" applyFont="1" applyFill="1" applyBorder="1" applyAlignment="1" applyProtection="1">
      <alignment horizontal="right" vertical="center" wrapText="1"/>
      <protection hidden="1"/>
    </xf>
    <xf numFmtId="166" fontId="18" fillId="32" borderId="0" xfId="0" applyNumberFormat="1" applyFont="1" applyFill="1" applyBorder="1" applyAlignment="1" applyProtection="1">
      <alignment horizontal="right" vertical="center" wrapText="1"/>
      <protection hidden="1"/>
    </xf>
    <xf numFmtId="0" fontId="18" fillId="35" borderId="61" xfId="0" applyFont="1" applyFill="1" applyBorder="1" applyAlignment="1" applyProtection="1">
      <alignment horizontal="left" vertical="center"/>
      <protection hidden="1"/>
    </xf>
    <xf numFmtId="0" fontId="22" fillId="35" borderId="1" xfId="0" applyFont="1" applyFill="1" applyBorder="1" applyAlignment="1" applyProtection="1">
      <alignment vertical="center" wrapText="1"/>
      <protection hidden="1"/>
    </xf>
    <xf numFmtId="166" fontId="18" fillId="35" borderId="65" xfId="0" applyNumberFormat="1" applyFont="1" applyFill="1" applyBorder="1" applyAlignment="1" applyProtection="1">
      <alignment horizontal="right" vertical="center"/>
      <protection hidden="1"/>
    </xf>
    <xf numFmtId="0" fontId="18" fillId="22" borderId="71" xfId="0" applyFont="1" applyFill="1" applyBorder="1" applyAlignment="1" applyProtection="1">
      <alignment horizontal="left" vertical="center"/>
      <protection hidden="1"/>
    </xf>
    <xf numFmtId="0" fontId="18" fillId="22" borderId="14" xfId="0" applyFont="1" applyFill="1" applyBorder="1" applyAlignment="1" applyProtection="1">
      <alignment vertical="center" wrapText="1"/>
      <protection hidden="1"/>
    </xf>
    <xf numFmtId="166" fontId="18" fillId="22" borderId="14" xfId="0" applyNumberFormat="1" applyFont="1" applyFill="1" applyBorder="1" applyAlignment="1" applyProtection="1">
      <alignment horizontal="right" vertical="center"/>
      <protection hidden="1"/>
    </xf>
    <xf numFmtId="166" fontId="18" fillId="22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0" fontId="22" fillId="0" borderId="14" xfId="0" applyFont="1" applyFill="1" applyBorder="1" applyAlignment="1" applyProtection="1">
      <alignment vertical="center" wrapText="1"/>
      <protection hidden="1"/>
    </xf>
    <xf numFmtId="166" fontId="18" fillId="0" borderId="14" xfId="0" applyNumberFormat="1" applyFont="1" applyFill="1" applyBorder="1" applyAlignment="1" applyProtection="1">
      <alignment horizontal="right" vertical="center"/>
      <protection hidden="1"/>
    </xf>
    <xf numFmtId="0" fontId="18" fillId="36" borderId="61" xfId="0" applyFont="1" applyFill="1" applyBorder="1" applyAlignment="1" applyProtection="1">
      <alignment horizontal="left" vertical="center"/>
      <protection hidden="1"/>
    </xf>
    <xf numFmtId="0" fontId="22" fillId="36" borderId="1" xfId="0" applyFont="1" applyFill="1" applyBorder="1" applyAlignment="1" applyProtection="1">
      <alignment vertical="center" wrapText="1"/>
      <protection hidden="1"/>
    </xf>
    <xf numFmtId="166" fontId="18" fillId="36" borderId="65" xfId="0" applyNumberFormat="1" applyFont="1" applyFill="1" applyBorder="1" applyAlignment="1" applyProtection="1">
      <alignment horizontal="right" vertical="center"/>
      <protection hidden="1"/>
    </xf>
    <xf numFmtId="0" fontId="18" fillId="37" borderId="61" xfId="0" applyFont="1" applyFill="1" applyBorder="1" applyAlignment="1" applyProtection="1">
      <alignment horizontal="left" vertical="center"/>
      <protection hidden="1"/>
    </xf>
    <xf numFmtId="0" fontId="22" fillId="37" borderId="1" xfId="0" applyFont="1" applyFill="1" applyBorder="1" applyAlignment="1" applyProtection="1">
      <alignment vertical="center" wrapText="1"/>
      <protection hidden="1"/>
    </xf>
    <xf numFmtId="166" fontId="18" fillId="37" borderId="65" xfId="0" applyNumberFormat="1" applyFont="1" applyFill="1" applyBorder="1" applyAlignment="1" applyProtection="1">
      <alignment horizontal="right" vertical="center"/>
      <protection hidden="1"/>
    </xf>
    <xf numFmtId="166" fontId="18" fillId="37" borderId="1" xfId="0" applyNumberFormat="1" applyFont="1" applyFill="1" applyBorder="1" applyAlignment="1" applyProtection="1">
      <alignment horizontal="right" vertical="center"/>
      <protection hidden="1"/>
    </xf>
    <xf numFmtId="166" fontId="18" fillId="37" borderId="15" xfId="0" applyNumberFormat="1" applyFont="1" applyFill="1" applyBorder="1" applyAlignment="1" applyProtection="1">
      <alignment horizontal="right" vertical="center"/>
      <protection hidden="1"/>
    </xf>
    <xf numFmtId="0" fontId="18" fillId="38" borderId="61" xfId="0" applyFont="1" applyFill="1" applyBorder="1" applyAlignment="1" applyProtection="1">
      <alignment horizontal="left" vertical="center"/>
      <protection hidden="1"/>
    </xf>
    <xf numFmtId="0" fontId="22" fillId="38" borderId="1" xfId="0" applyFont="1" applyFill="1" applyBorder="1" applyAlignment="1" applyProtection="1">
      <alignment vertical="center" wrapText="1"/>
      <protection hidden="1"/>
    </xf>
    <xf numFmtId="166" fontId="18" fillId="38" borderId="65" xfId="0" applyNumberFormat="1" applyFont="1" applyFill="1" applyBorder="1" applyAlignment="1" applyProtection="1">
      <alignment horizontal="right" vertical="center"/>
      <protection hidden="1"/>
    </xf>
    <xf numFmtId="166" fontId="18" fillId="38" borderId="1" xfId="0" applyNumberFormat="1" applyFont="1" applyFill="1" applyBorder="1" applyAlignment="1" applyProtection="1">
      <alignment horizontal="right" vertical="center"/>
      <protection hidden="1"/>
    </xf>
    <xf numFmtId="0" fontId="18" fillId="25" borderId="61" xfId="0" applyFont="1" applyFill="1" applyBorder="1" applyAlignment="1" applyProtection="1">
      <alignment horizontal="left" vertical="center"/>
      <protection hidden="1"/>
    </xf>
    <xf numFmtId="0" fontId="22" fillId="25" borderId="1" xfId="0" applyFont="1" applyFill="1" applyBorder="1" applyAlignment="1" applyProtection="1">
      <alignment vertical="center" wrapText="1"/>
      <protection hidden="1"/>
    </xf>
    <xf numFmtId="166" fontId="18" fillId="25" borderId="65" xfId="0" applyNumberFormat="1" applyFont="1" applyFill="1" applyBorder="1" applyAlignment="1" applyProtection="1">
      <alignment horizontal="right" vertical="center"/>
      <protection hidden="1"/>
    </xf>
    <xf numFmtId="166" fontId="18" fillId="25" borderId="1" xfId="0" applyNumberFormat="1" applyFont="1" applyFill="1" applyBorder="1" applyAlignment="1" applyProtection="1">
      <alignment horizontal="right" vertical="center"/>
      <protection hidden="1"/>
    </xf>
    <xf numFmtId="166" fontId="18" fillId="25" borderId="15" xfId="0" applyNumberFormat="1" applyFont="1" applyFill="1" applyBorder="1" applyAlignment="1" applyProtection="1">
      <alignment horizontal="right" vertical="center"/>
      <protection hidden="1"/>
    </xf>
    <xf numFmtId="0" fontId="18" fillId="31" borderId="61" xfId="0" applyFont="1" applyFill="1" applyBorder="1" applyAlignment="1" applyProtection="1">
      <alignment horizontal="left" vertical="center"/>
      <protection hidden="1"/>
    </xf>
    <xf numFmtId="0" fontId="22" fillId="31" borderId="1" xfId="0" applyFont="1" applyFill="1" applyBorder="1" applyAlignment="1" applyProtection="1">
      <alignment vertical="center" wrapText="1"/>
      <protection hidden="1"/>
    </xf>
    <xf numFmtId="166" fontId="18" fillId="31" borderId="65" xfId="0" applyNumberFormat="1" applyFont="1" applyFill="1" applyBorder="1" applyAlignment="1" applyProtection="1">
      <alignment horizontal="right" vertical="center"/>
      <protection hidden="1"/>
    </xf>
    <xf numFmtId="166" fontId="18" fillId="31" borderId="1" xfId="0" applyNumberFormat="1" applyFont="1" applyFill="1" applyBorder="1" applyAlignment="1" applyProtection="1">
      <alignment horizontal="right" vertical="center"/>
      <protection hidden="1"/>
    </xf>
    <xf numFmtId="166" fontId="18" fillId="31" borderId="15" xfId="0" applyNumberFormat="1" applyFont="1" applyFill="1" applyBorder="1" applyAlignment="1" applyProtection="1">
      <alignment horizontal="right" vertical="center"/>
      <protection hidden="1"/>
    </xf>
    <xf numFmtId="0" fontId="18" fillId="39" borderId="61" xfId="0" applyFont="1" applyFill="1" applyBorder="1" applyAlignment="1" applyProtection="1">
      <alignment horizontal="left" vertical="center"/>
      <protection hidden="1"/>
    </xf>
    <xf numFmtId="0" fontId="18" fillId="39" borderId="1" xfId="0" applyFont="1" applyFill="1" applyBorder="1" applyAlignment="1" applyProtection="1">
      <alignment vertical="center" wrapText="1"/>
      <protection hidden="1"/>
    </xf>
    <xf numFmtId="166" fontId="18" fillId="39" borderId="65" xfId="0" applyNumberFormat="1" applyFont="1" applyFill="1" applyBorder="1" applyAlignment="1" applyProtection="1">
      <alignment horizontal="right" vertical="center"/>
      <protection hidden="1"/>
    </xf>
    <xf numFmtId="166" fontId="18" fillId="39" borderId="1" xfId="0" applyNumberFormat="1" applyFont="1" applyFill="1" applyBorder="1" applyAlignment="1" applyProtection="1">
      <alignment horizontal="right" vertical="center"/>
      <protection hidden="1"/>
    </xf>
    <xf numFmtId="0" fontId="18" fillId="40" borderId="61" xfId="0" applyFont="1" applyFill="1" applyBorder="1" applyAlignment="1" applyProtection="1">
      <alignment horizontal="left" vertical="center"/>
      <protection hidden="1"/>
    </xf>
    <xf numFmtId="0" fontId="18" fillId="40" borderId="1" xfId="0" applyFont="1" applyFill="1" applyBorder="1" applyAlignment="1" applyProtection="1">
      <alignment vertical="center" wrapText="1"/>
      <protection hidden="1"/>
    </xf>
    <xf numFmtId="166" fontId="18" fillId="40" borderId="65" xfId="0" applyNumberFormat="1" applyFont="1" applyFill="1" applyBorder="1" applyAlignment="1" applyProtection="1">
      <alignment horizontal="right" vertical="center"/>
      <protection hidden="1"/>
    </xf>
    <xf numFmtId="166" fontId="18" fillId="40" borderId="1" xfId="0" applyNumberFormat="1" applyFont="1" applyFill="1" applyBorder="1" applyAlignment="1" applyProtection="1">
      <alignment horizontal="right" vertical="center"/>
      <protection hidden="1"/>
    </xf>
    <xf numFmtId="0" fontId="18" fillId="41" borderId="61" xfId="0" applyFont="1" applyFill="1" applyBorder="1" applyAlignment="1" applyProtection="1">
      <alignment horizontal="left" vertical="center"/>
      <protection hidden="1"/>
    </xf>
    <xf numFmtId="0" fontId="18" fillId="41" borderId="3" xfId="0" applyFont="1" applyFill="1" applyBorder="1" applyAlignment="1" applyProtection="1">
      <alignment vertical="center" wrapText="1"/>
      <protection hidden="1"/>
    </xf>
    <xf numFmtId="166" fontId="18" fillId="41" borderId="72" xfId="0" applyNumberFormat="1" applyFont="1" applyFill="1" applyBorder="1" applyAlignment="1" applyProtection="1">
      <alignment horizontal="right" vertical="center"/>
      <protection hidden="1"/>
    </xf>
    <xf numFmtId="166" fontId="18" fillId="41" borderId="3" xfId="0" applyNumberFormat="1" applyFont="1" applyFill="1" applyBorder="1" applyAlignment="1" applyProtection="1">
      <alignment horizontal="right" vertical="center"/>
      <protection hidden="1"/>
    </xf>
    <xf numFmtId="0" fontId="18" fillId="42" borderId="61" xfId="0" applyFont="1" applyFill="1" applyBorder="1" applyAlignment="1" applyProtection="1">
      <alignment horizontal="left" vertical="center"/>
      <protection hidden="1"/>
    </xf>
    <xf numFmtId="0" fontId="18" fillId="42" borderId="1" xfId="0" applyFont="1" applyFill="1" applyBorder="1" applyAlignment="1" applyProtection="1">
      <alignment vertical="center" wrapText="1"/>
      <protection hidden="1"/>
    </xf>
    <xf numFmtId="166" fontId="18" fillId="42" borderId="65" xfId="0" applyNumberFormat="1" applyFont="1" applyFill="1" applyBorder="1" applyAlignment="1" applyProtection="1">
      <alignment horizontal="right" vertical="center"/>
      <protection hidden="1"/>
    </xf>
    <xf numFmtId="166" fontId="18" fillId="42" borderId="1" xfId="0" applyNumberFormat="1" applyFont="1" applyFill="1" applyBorder="1" applyAlignment="1" applyProtection="1">
      <alignment horizontal="right" vertical="center"/>
      <protection hidden="1"/>
    </xf>
    <xf numFmtId="0" fontId="18" fillId="0" borderId="14" xfId="0" applyFont="1" applyFill="1" applyBorder="1" applyAlignment="1" applyProtection="1">
      <alignment vertical="center" wrapText="1"/>
      <protection hidden="1"/>
    </xf>
    <xf numFmtId="166" fontId="18" fillId="0" borderId="14" xfId="0" applyNumberFormat="1" applyFont="1" applyFill="1" applyBorder="1" applyAlignment="1" applyProtection="1">
      <alignment horizontal="right"/>
      <protection hidden="1"/>
    </xf>
    <xf numFmtId="0" fontId="18" fillId="43" borderId="61" xfId="0" applyFont="1" applyFill="1" applyBorder="1" applyAlignment="1" applyProtection="1">
      <alignment horizontal="left" vertical="center"/>
      <protection hidden="1"/>
    </xf>
    <xf numFmtId="0" fontId="18" fillId="43" borderId="1" xfId="0" applyFont="1" applyFill="1" applyBorder="1" applyAlignment="1" applyProtection="1">
      <alignment vertical="center" wrapText="1"/>
      <protection hidden="1"/>
    </xf>
    <xf numFmtId="166" fontId="18" fillId="43" borderId="65" xfId="0" applyNumberFormat="1" applyFont="1" applyFill="1" applyBorder="1" applyAlignment="1" applyProtection="1">
      <alignment horizontal="right"/>
      <protection hidden="1"/>
    </xf>
    <xf numFmtId="166" fontId="18" fillId="43" borderId="1" xfId="0" applyNumberFormat="1" applyFont="1" applyFill="1" applyBorder="1" applyAlignment="1" applyProtection="1">
      <alignment horizontal="right" vertical="center"/>
      <protection hidden="1"/>
    </xf>
    <xf numFmtId="0" fontId="18" fillId="44" borderId="61" xfId="0" applyFont="1" applyFill="1" applyBorder="1" applyAlignment="1" applyProtection="1">
      <alignment horizontal="left" vertical="center"/>
      <protection hidden="1"/>
    </xf>
    <xf numFmtId="0" fontId="18" fillId="44" borderId="1" xfId="0" applyFont="1" applyFill="1" applyBorder="1" applyAlignment="1" applyProtection="1">
      <alignment vertical="center" wrapText="1"/>
      <protection hidden="1"/>
    </xf>
    <xf numFmtId="166" fontId="18" fillId="44" borderId="65" xfId="0" applyNumberFormat="1" applyFont="1" applyFill="1" applyBorder="1" applyAlignment="1" applyProtection="1">
      <alignment horizontal="right" vertical="center"/>
      <protection hidden="1"/>
    </xf>
    <xf numFmtId="166" fontId="18" fillId="44" borderId="13" xfId="0" applyNumberFormat="1" applyFont="1" applyFill="1" applyBorder="1" applyAlignment="1" applyProtection="1">
      <alignment horizontal="right" vertical="center"/>
      <protection hidden="1"/>
    </xf>
    <xf numFmtId="0" fontId="18" fillId="45" borderId="61" xfId="0" applyFont="1" applyFill="1" applyBorder="1" applyAlignment="1" applyProtection="1">
      <alignment horizontal="left" vertical="center"/>
      <protection hidden="1"/>
    </xf>
    <xf numFmtId="0" fontId="18" fillId="45" borderId="1" xfId="0" applyFont="1" applyFill="1" applyBorder="1" applyAlignment="1" applyProtection="1">
      <alignment vertical="center" wrapText="1"/>
      <protection hidden="1"/>
    </xf>
    <xf numFmtId="166" fontId="18" fillId="45" borderId="65" xfId="0" applyNumberFormat="1" applyFont="1" applyFill="1" applyBorder="1" applyAlignment="1" applyProtection="1">
      <alignment horizontal="right"/>
      <protection hidden="1"/>
    </xf>
    <xf numFmtId="166" fontId="18" fillId="45" borderId="1" xfId="0" applyNumberFormat="1" applyFont="1" applyFill="1" applyBorder="1" applyAlignment="1" applyProtection="1">
      <alignment horizontal="right"/>
      <protection hidden="1"/>
    </xf>
    <xf numFmtId="0" fontId="18" fillId="46" borderId="61" xfId="0" applyFont="1" applyFill="1" applyBorder="1" applyAlignment="1" applyProtection="1">
      <alignment horizontal="left" vertical="center"/>
      <protection hidden="1"/>
    </xf>
    <xf numFmtId="0" fontId="18" fillId="46" borderId="1" xfId="0" applyFont="1" applyFill="1" applyBorder="1" applyAlignment="1" applyProtection="1">
      <alignment vertical="center" wrapText="1"/>
      <protection hidden="1"/>
    </xf>
    <xf numFmtId="166" fontId="18" fillId="46" borderId="65" xfId="0" applyNumberFormat="1" applyFont="1" applyFill="1" applyBorder="1" applyAlignment="1" applyProtection="1">
      <alignment horizontal="right" vertical="center"/>
      <protection hidden="1"/>
    </xf>
    <xf numFmtId="167" fontId="18" fillId="46" borderId="1" xfId="0" applyNumberFormat="1" applyFont="1" applyFill="1" applyBorder="1" applyAlignment="1" applyProtection="1">
      <alignment horizontal="right" vertical="center"/>
      <protection hidden="1"/>
    </xf>
    <xf numFmtId="0" fontId="18" fillId="47" borderId="66" xfId="0" applyFont="1" applyFill="1" applyBorder="1" applyAlignment="1" applyProtection="1">
      <alignment horizontal="left" vertical="center"/>
      <protection hidden="1"/>
    </xf>
    <xf numFmtId="0" fontId="18" fillId="47" borderId="67" xfId="0" applyFont="1" applyFill="1" applyBorder="1" applyAlignment="1" applyProtection="1">
      <alignment vertical="center" wrapText="1"/>
      <protection hidden="1"/>
    </xf>
    <xf numFmtId="166" fontId="18" fillId="47" borderId="68" xfId="0" applyNumberFormat="1" applyFont="1" applyFill="1" applyBorder="1" applyAlignment="1" applyProtection="1">
      <alignment horizontal="right" vertical="center"/>
      <protection hidden="1"/>
    </xf>
    <xf numFmtId="167" fontId="18" fillId="47" borderId="67" xfId="0" applyNumberFormat="1" applyFont="1" applyFill="1" applyBorder="1" applyAlignment="1" applyProtection="1">
      <alignment horizontal="right" vertical="center"/>
      <protection hidden="1"/>
    </xf>
    <xf numFmtId="167" fontId="23" fillId="47" borderId="67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4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0" xfId="0" applyNumberFormat="1" applyFont="1" applyBorder="1" applyAlignment="1" applyProtection="1">
      <alignment horizontal="center" vertical="center" wrapText="1"/>
      <protection hidden="1"/>
    </xf>
    <xf numFmtId="165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 applyProtection="1">
      <alignment horizontal="center" vertical="center" wrapText="1"/>
      <protection hidden="1"/>
    </xf>
    <xf numFmtId="168" fontId="1" fillId="0" borderId="14" xfId="0" applyNumberFormat="1" applyFont="1" applyBorder="1" applyAlignment="1" applyProtection="1">
      <alignment horizontal="center" vertical="center" wrapText="1"/>
      <protection hidden="1"/>
    </xf>
    <xf numFmtId="165" fontId="1" fillId="0" borderId="79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80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82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83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8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04" xfId="0" applyFont="1" applyBorder="1"/>
    <xf numFmtId="0" fontId="28" fillId="0" borderId="2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5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104" xfId="0" applyFont="1" applyBorder="1" applyAlignment="1">
      <alignment horizontal="center"/>
    </xf>
    <xf numFmtId="0" fontId="28" fillId="0" borderId="105" xfId="0" applyFont="1" applyBorder="1"/>
    <xf numFmtId="49" fontId="30" fillId="48" borderId="106" xfId="0" applyNumberFormat="1" applyFont="1" applyFill="1" applyBorder="1" applyAlignment="1"/>
    <xf numFmtId="43" fontId="30" fillId="48" borderId="1" xfId="1" applyNumberFormat="1" applyFont="1" applyFill="1" applyBorder="1" applyAlignment="1"/>
    <xf numFmtId="43" fontId="30" fillId="48" borderId="1" xfId="0" applyNumberFormat="1" applyFont="1" applyFill="1" applyBorder="1" applyAlignment="1">
      <alignment horizontal="right"/>
    </xf>
    <xf numFmtId="43" fontId="30" fillId="48" borderId="15" xfId="1" applyNumberFormat="1" applyFont="1" applyFill="1" applyBorder="1" applyAlignment="1"/>
    <xf numFmtId="43" fontId="30" fillId="48" borderId="13" xfId="1" applyNumberFormat="1" applyFont="1" applyFill="1" applyBorder="1" applyAlignment="1"/>
    <xf numFmtId="43" fontId="30" fillId="48" borderId="107" xfId="1" applyNumberFormat="1" applyFont="1" applyFill="1" applyBorder="1" applyAlignment="1"/>
    <xf numFmtId="43" fontId="30" fillId="48" borderId="106" xfId="1" applyNumberFormat="1" applyFont="1" applyFill="1" applyBorder="1" applyAlignment="1"/>
    <xf numFmtId="43" fontId="30" fillId="48" borderId="107" xfId="0" applyNumberFormat="1" applyFont="1" applyFill="1" applyBorder="1" applyAlignment="1"/>
    <xf numFmtId="0" fontId="0" fillId="0" borderId="0" xfId="0" applyFill="1"/>
    <xf numFmtId="43" fontId="30" fillId="48" borderId="1" xfId="1" applyNumberFormat="1" applyFont="1" applyFill="1" applyBorder="1" applyAlignment="1">
      <alignment horizontal="right"/>
    </xf>
    <xf numFmtId="3" fontId="28" fillId="0" borderId="106" xfId="0" applyNumberFormat="1" applyFont="1" applyFill="1" applyBorder="1" applyAlignment="1"/>
    <xf numFmtId="3" fontId="28" fillId="0" borderId="1" xfId="0" applyNumberFormat="1" applyFont="1" applyFill="1" applyBorder="1" applyAlignment="1"/>
    <xf numFmtId="4" fontId="28" fillId="0" borderId="1" xfId="1" applyNumberFormat="1" applyFont="1" applyFill="1" applyBorder="1" applyAlignment="1"/>
    <xf numFmtId="4" fontId="28" fillId="0" borderId="13" xfId="1" applyNumberFormat="1" applyFont="1" applyFill="1" applyBorder="1" applyAlignment="1"/>
    <xf numFmtId="43" fontId="28" fillId="0" borderId="1" xfId="0" applyNumberFormat="1" applyFont="1" applyFill="1" applyBorder="1" applyAlignment="1"/>
    <xf numFmtId="43" fontId="28" fillId="0" borderId="106" xfId="1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0" borderId="107" xfId="1" applyNumberFormat="1" applyFont="1" applyFill="1" applyBorder="1" applyAlignment="1"/>
    <xf numFmtId="3" fontId="30" fillId="0" borderId="106" xfId="0" applyNumberFormat="1" applyFont="1" applyFill="1" applyBorder="1" applyAlignment="1"/>
    <xf numFmtId="3" fontId="31" fillId="0" borderId="1" xfId="0" applyNumberFormat="1" applyFont="1" applyFill="1" applyBorder="1" applyAlignment="1"/>
    <xf numFmtId="3" fontId="30" fillId="0" borderId="101" xfId="0" applyNumberFormat="1" applyFont="1" applyFill="1" applyBorder="1" applyAlignment="1"/>
    <xf numFmtId="3" fontId="30" fillId="0" borderId="108" xfId="0" applyNumberFormat="1" applyFont="1" applyFill="1" applyBorder="1" applyAlignment="1"/>
    <xf numFmtId="0" fontId="30" fillId="0" borderId="0" xfId="0" applyFont="1" applyBorder="1"/>
    <xf numFmtId="3" fontId="28" fillId="0" borderId="1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8" fillId="0" borderId="107" xfId="0" applyNumberFormat="1" applyFont="1" applyFill="1" applyBorder="1" applyAlignment="1">
      <alignment horizontal="center"/>
    </xf>
    <xf numFmtId="3" fontId="30" fillId="0" borderId="104" xfId="0" applyNumberFormat="1" applyFont="1" applyFill="1" applyBorder="1" applyAlignment="1"/>
    <xf numFmtId="3" fontId="28" fillId="0" borderId="2" xfId="0" applyNumberFormat="1" applyFont="1" applyFill="1" applyBorder="1" applyAlignment="1"/>
    <xf numFmtId="0" fontId="28" fillId="0" borderId="109" xfId="0" applyFont="1" applyBorder="1" applyAlignment="1">
      <alignment horizontal="center"/>
    </xf>
    <xf numFmtId="0" fontId="28" fillId="0" borderId="110" xfId="0" applyFont="1" applyBorder="1" applyAlignment="1">
      <alignment horizontal="center"/>
    </xf>
    <xf numFmtId="0" fontId="28" fillId="0" borderId="111" xfId="0" applyFont="1" applyBorder="1"/>
    <xf numFmtId="49" fontId="31" fillId="49" borderId="106" xfId="0" applyNumberFormat="1" applyFont="1" applyFill="1" applyBorder="1" applyAlignment="1"/>
    <xf numFmtId="43" fontId="30" fillId="49" borderId="1" xfId="1" applyNumberFormat="1" applyFont="1" applyFill="1" applyBorder="1" applyAlignment="1">
      <alignment horizontal="right"/>
    </xf>
    <xf numFmtId="43" fontId="30" fillId="49" borderId="1" xfId="0" applyNumberFormat="1" applyFont="1" applyFill="1" applyBorder="1" applyAlignment="1">
      <alignment horizontal="right"/>
    </xf>
    <xf numFmtId="43" fontId="30" fillId="49" borderId="15" xfId="0" applyNumberFormat="1" applyFont="1" applyFill="1" applyBorder="1" applyAlignment="1">
      <alignment horizontal="right"/>
    </xf>
    <xf numFmtId="43" fontId="30" fillId="49" borderId="13" xfId="0" applyNumberFormat="1" applyFont="1" applyFill="1" applyBorder="1" applyAlignment="1">
      <alignment horizontal="right"/>
    </xf>
    <xf numFmtId="43" fontId="30" fillId="49" borderId="107" xfId="0" applyNumberFormat="1" applyFont="1" applyFill="1" applyBorder="1" applyAlignment="1">
      <alignment horizontal="right"/>
    </xf>
    <xf numFmtId="49" fontId="30" fillId="49" borderId="106" xfId="0" applyNumberFormat="1" applyFont="1" applyFill="1" applyBorder="1" applyAlignment="1"/>
    <xf numFmtId="43" fontId="30" fillId="49" borderId="1" xfId="1" applyNumberFormat="1" applyFont="1" applyFill="1" applyBorder="1" applyAlignment="1"/>
    <xf numFmtId="43" fontId="30" fillId="49" borderId="106" xfId="1" applyNumberFormat="1" applyFont="1" applyFill="1" applyBorder="1" applyAlignment="1"/>
    <xf numFmtId="43" fontId="30" fillId="49" borderId="107" xfId="0" applyNumberFormat="1" applyFont="1" applyFill="1" applyBorder="1" applyAlignment="1"/>
    <xf numFmtId="49" fontId="31" fillId="49" borderId="112" xfId="0" applyNumberFormat="1" applyFont="1" applyFill="1" applyBorder="1" applyAlignment="1"/>
    <xf numFmtId="43" fontId="30" fillId="49" borderId="3" xfId="1" applyNumberFormat="1" applyFont="1" applyFill="1" applyBorder="1" applyAlignment="1">
      <alignment horizontal="right"/>
    </xf>
    <xf numFmtId="43" fontId="30" fillId="49" borderId="3" xfId="0" applyNumberFormat="1" applyFont="1" applyFill="1" applyBorder="1" applyAlignment="1">
      <alignment horizontal="right"/>
    </xf>
    <xf numFmtId="43" fontId="30" fillId="49" borderId="4" xfId="0" applyNumberFormat="1" applyFont="1" applyFill="1" applyBorder="1" applyAlignment="1">
      <alignment horizontal="right"/>
    </xf>
    <xf numFmtId="3" fontId="28" fillId="0" borderId="101" xfId="0" applyNumberFormat="1" applyFont="1" applyFill="1" applyBorder="1" applyAlignment="1"/>
    <xf numFmtId="3" fontId="28" fillId="0" borderId="108" xfId="1" applyNumberFormat="1" applyFont="1" applyFill="1" applyBorder="1" applyAlignment="1"/>
    <xf numFmtId="4" fontId="28" fillId="0" borderId="108" xfId="1" applyNumberFormat="1" applyFont="1" applyFill="1" applyBorder="1" applyAlignment="1"/>
    <xf numFmtId="3" fontId="28" fillId="0" borderId="112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101" xfId="1" applyNumberFormat="1" applyFont="1" applyFill="1" applyBorder="1" applyAlignment="1"/>
    <xf numFmtId="43" fontId="28" fillId="0" borderId="108" xfId="1" applyNumberFormat="1" applyFont="1" applyFill="1" applyBorder="1" applyAlignment="1"/>
    <xf numFmtId="43" fontId="28" fillId="0" borderId="114" xfId="0" applyNumberFormat="1" applyFont="1" applyFill="1" applyBorder="1" applyAlignment="1"/>
    <xf numFmtId="3" fontId="31" fillId="0" borderId="2" xfId="1" applyNumberFormat="1" applyFont="1" applyFill="1" applyBorder="1" applyAlignment="1"/>
    <xf numFmtId="0" fontId="30" fillId="0" borderId="1" xfId="0" applyFont="1" applyBorder="1"/>
    <xf numFmtId="170" fontId="32" fillId="0" borderId="0" xfId="1" applyNumberFormat="1" applyFont="1" applyBorder="1" applyAlignment="1"/>
    <xf numFmtId="4" fontId="33" fillId="0" borderId="1" xfId="0" applyNumberFormat="1" applyFont="1" applyFill="1" applyBorder="1" applyAlignment="1"/>
    <xf numFmtId="4" fontId="33" fillId="0" borderId="15" xfId="0" applyNumberFormat="1" applyFont="1" applyFill="1" applyBorder="1" applyAlignment="1"/>
    <xf numFmtId="4" fontId="33" fillId="0" borderId="13" xfId="0" applyNumberFormat="1" applyFont="1" applyFill="1" applyBorder="1" applyAlignment="1"/>
    <xf numFmtId="4" fontId="33" fillId="0" borderId="107" xfId="0" applyNumberFormat="1" applyFont="1" applyFill="1" applyBorder="1" applyAlignment="1"/>
    <xf numFmtId="3" fontId="28" fillId="50" borderId="108" xfId="0" applyNumberFormat="1" applyFont="1" applyFill="1" applyBorder="1" applyAlignment="1"/>
    <xf numFmtId="43" fontId="30" fillId="50" borderId="108" xfId="0" applyNumberFormat="1" applyFont="1" applyFill="1" applyBorder="1" applyAlignment="1"/>
    <xf numFmtId="43" fontId="33" fillId="50" borderId="115" xfId="1" applyNumberFormat="1" applyFont="1" applyFill="1" applyBorder="1" applyAlignment="1"/>
    <xf numFmtId="3" fontId="33" fillId="50" borderId="108" xfId="0" applyNumberFormat="1" applyFont="1" applyFill="1" applyBorder="1" applyAlignment="1"/>
    <xf numFmtId="0" fontId="30" fillId="0" borderId="96" xfId="0" applyFont="1" applyBorder="1"/>
    <xf numFmtId="0" fontId="30" fillId="0" borderId="117" xfId="0" applyFont="1" applyBorder="1" applyAlignment="1"/>
    <xf numFmtId="3" fontId="28" fillId="0" borderId="109" xfId="0" applyNumberFormat="1" applyFont="1" applyFill="1" applyBorder="1" applyAlignment="1">
      <alignment horizontal="center"/>
    </xf>
    <xf numFmtId="3" fontId="28" fillId="0" borderId="111" xfId="0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/>
    <xf numFmtId="0" fontId="28" fillId="0" borderId="118" xfId="0" applyFont="1" applyBorder="1" applyAlignment="1">
      <alignment horizontal="center"/>
    </xf>
    <xf numFmtId="49" fontId="30" fillId="51" borderId="106" xfId="0" applyNumberFormat="1" applyFont="1" applyFill="1" applyBorder="1" applyAlignment="1"/>
    <xf numFmtId="43" fontId="30" fillId="51" borderId="15" xfId="1" applyNumberFormat="1" applyFont="1" applyFill="1" applyBorder="1" applyAlignment="1"/>
    <xf numFmtId="43" fontId="30" fillId="51" borderId="106" xfId="0" applyNumberFormat="1" applyFont="1" applyFill="1" applyBorder="1" applyAlignment="1"/>
    <xf numFmtId="43" fontId="30" fillId="51" borderId="107" xfId="0" applyNumberFormat="1" applyFont="1" applyFill="1" applyBorder="1" applyAlignment="1"/>
    <xf numFmtId="43" fontId="30" fillId="51" borderId="106" xfId="0" applyNumberFormat="1" applyFont="1" applyFill="1" applyBorder="1" applyAlignment="1">
      <alignment horizontal="right"/>
    </xf>
    <xf numFmtId="43" fontId="30" fillId="51" borderId="107" xfId="0" applyNumberFormat="1" applyFont="1" applyFill="1" applyBorder="1" applyAlignment="1">
      <alignment horizontal="right"/>
    </xf>
    <xf numFmtId="43" fontId="30" fillId="51" borderId="119" xfId="0" applyNumberFormat="1" applyFont="1" applyFill="1" applyBorder="1" applyAlignment="1"/>
    <xf numFmtId="43" fontId="30" fillId="52" borderId="106" xfId="1" applyNumberFormat="1" applyFont="1" applyFill="1" applyBorder="1" applyAlignment="1"/>
    <xf numFmtId="43" fontId="30" fillId="51" borderId="13" xfId="1" applyNumberFormat="1" applyFont="1" applyFill="1" applyBorder="1" applyAlignment="1"/>
    <xf numFmtId="43" fontId="30" fillId="51" borderId="14" xfId="1" applyNumberFormat="1" applyFont="1" applyFill="1" applyBorder="1" applyAlignment="1"/>
    <xf numFmtId="43" fontId="30" fillId="51" borderId="1" xfId="1" applyNumberFormat="1" applyFont="1" applyFill="1" applyBorder="1" applyAlignment="1"/>
    <xf numFmtId="43" fontId="30" fillId="51" borderId="15" xfId="0" applyNumberFormat="1" applyFont="1" applyFill="1" applyBorder="1"/>
    <xf numFmtId="43" fontId="30" fillId="51" borderId="106" xfId="0" applyNumberFormat="1" applyFont="1" applyFill="1" applyBorder="1" applyAlignment="1">
      <alignment horizontal="right" vertical="center"/>
    </xf>
    <xf numFmtId="43" fontId="30" fillId="51" borderId="107" xfId="0" applyNumberFormat="1" applyFont="1" applyFill="1" applyBorder="1" applyAlignment="1">
      <alignment horizontal="right" vertical="center"/>
    </xf>
    <xf numFmtId="49" fontId="30" fillId="51" borderId="112" xfId="0" applyNumberFormat="1" applyFont="1" applyFill="1" applyBorder="1" applyAlignment="1"/>
    <xf numFmtId="43" fontId="30" fillId="51" borderId="4" xfId="0" applyNumberFormat="1" applyFont="1" applyFill="1" applyBorder="1"/>
    <xf numFmtId="43" fontId="30" fillId="51" borderId="112" xfId="0" applyNumberFormat="1" applyFont="1" applyFill="1" applyBorder="1" applyAlignment="1">
      <alignment horizontal="right" vertical="center"/>
    </xf>
    <xf numFmtId="43" fontId="30" fillId="51" borderId="120" xfId="0" applyNumberFormat="1" applyFont="1" applyFill="1" applyBorder="1" applyAlignment="1">
      <alignment horizontal="right" vertical="center"/>
    </xf>
    <xf numFmtId="49" fontId="30" fillId="51" borderId="1" xfId="0" applyNumberFormat="1" applyFont="1" applyFill="1" applyBorder="1" applyAlignment="1"/>
    <xf numFmtId="43" fontId="30" fillId="51" borderId="1" xfId="0" applyNumberFormat="1" applyFont="1" applyFill="1" applyBorder="1" applyAlignment="1"/>
    <xf numFmtId="43" fontId="30" fillId="52" borderId="112" xfId="1" applyNumberFormat="1" applyFont="1" applyFill="1" applyBorder="1" applyAlignment="1"/>
    <xf numFmtId="43" fontId="30" fillId="51" borderId="3" xfId="1" applyNumberFormat="1" applyFont="1" applyFill="1" applyBorder="1" applyAlignment="1"/>
    <xf numFmtId="43" fontId="30" fillId="51" borderId="120" xfId="0" applyNumberFormat="1" applyFont="1" applyFill="1" applyBorder="1" applyAlignment="1"/>
    <xf numFmtId="43" fontId="30" fillId="51" borderId="119" xfId="1" applyNumberFormat="1" applyFont="1" applyFill="1" applyBorder="1" applyAlignment="1"/>
    <xf numFmtId="43" fontId="28" fillId="0" borderId="116" xfId="1" applyNumberFormat="1" applyFont="1" applyFill="1" applyBorder="1" applyAlignment="1"/>
    <xf numFmtId="43" fontId="28" fillId="0" borderId="114" xfId="1" applyNumberFormat="1" applyFont="1" applyFill="1" applyBorder="1" applyAlignment="1"/>
    <xf numFmtId="49" fontId="30" fillId="0" borderId="1" xfId="0" applyNumberFormat="1" applyFont="1" applyFill="1" applyBorder="1" applyAlignment="1"/>
    <xf numFmtId="43" fontId="30" fillId="0" borderId="1" xfId="1" applyNumberFormat="1" applyFont="1" applyFill="1" applyBorder="1" applyAlignment="1"/>
    <xf numFmtId="43" fontId="30" fillId="53" borderId="2" xfId="1" applyNumberFormat="1" applyFont="1" applyFill="1" applyBorder="1" applyAlignment="1"/>
    <xf numFmtId="43" fontId="30" fillId="53" borderId="2" xfId="0" applyNumberFormat="1" applyFont="1" applyFill="1" applyBorder="1" applyAlignment="1"/>
    <xf numFmtId="43" fontId="30" fillId="53" borderId="1" xfId="1" applyNumberFormat="1" applyFont="1" applyFill="1" applyBorder="1" applyAlignment="1"/>
    <xf numFmtId="43" fontId="30" fillId="53" borderId="1" xfId="0" applyNumberFormat="1" applyFont="1" applyFill="1" applyBorder="1" applyAlignment="1"/>
    <xf numFmtId="43" fontId="30" fillId="53" borderId="107" xfId="0" applyNumberFormat="1" applyFont="1" applyFill="1" applyBorder="1" applyAlignment="1"/>
    <xf numFmtId="49" fontId="30" fillId="0" borderId="3" xfId="0" applyNumberFormat="1" applyFont="1" applyFill="1" applyBorder="1" applyAlignment="1"/>
    <xf numFmtId="43" fontId="30" fillId="0" borderId="3" xfId="1" applyNumberFormat="1" applyFont="1" applyFill="1" applyBorder="1" applyAlignment="1"/>
    <xf numFmtId="43" fontId="30" fillId="0" borderId="3" xfId="0" applyNumberFormat="1" applyFont="1" applyFill="1" applyBorder="1" applyAlignment="1"/>
    <xf numFmtId="43" fontId="30" fillId="0" borderId="120" xfId="0" applyNumberFormat="1" applyFont="1" applyFill="1" applyBorder="1" applyAlignment="1"/>
    <xf numFmtId="43" fontId="28" fillId="50" borderId="108" xfId="1" applyNumberFormat="1" applyFont="1" applyFill="1" applyBorder="1" applyAlignment="1"/>
    <xf numFmtId="43" fontId="28" fillId="50" borderId="114" xfId="1" applyNumberFormat="1" applyFont="1" applyFill="1" applyBorder="1" applyAlignment="1"/>
    <xf numFmtId="43" fontId="28" fillId="50" borderId="116" xfId="1" applyNumberFormat="1" applyFont="1" applyFill="1" applyBorder="1" applyAlignment="1"/>
    <xf numFmtId="43" fontId="33" fillId="50" borderId="130" xfId="0" applyNumberFormat="1" applyFont="1" applyFill="1" applyBorder="1" applyAlignment="1"/>
    <xf numFmtId="43" fontId="0" fillId="0" borderId="0" xfId="0" applyNumberFormat="1"/>
    <xf numFmtId="43" fontId="33" fillId="54" borderId="0" xfId="1" applyNumberFormat="1" applyFont="1" applyFill="1" applyBorder="1" applyAlignment="1"/>
    <xf numFmtId="43" fontId="36" fillId="0" borderId="0" xfId="0" applyNumberFormat="1" applyFont="1"/>
    <xf numFmtId="43" fontId="33" fillId="0" borderId="0" xfId="1" applyNumberFormat="1" applyFont="1" applyFill="1" applyBorder="1" applyAlignment="1"/>
    <xf numFmtId="0" fontId="30" fillId="0" borderId="0" xfId="0" applyFont="1"/>
    <xf numFmtId="43" fontId="30" fillId="0" borderId="117" xfId="0" applyNumberFormat="1" applyFont="1" applyBorder="1" applyAlignment="1"/>
    <xf numFmtId="43" fontId="33" fillId="54" borderId="117" xfId="0" applyNumberFormat="1" applyFont="1" applyFill="1" applyBorder="1" applyAlignment="1"/>
    <xf numFmtId="43" fontId="33" fillId="0" borderId="117" xfId="0" applyNumberFormat="1" applyFont="1" applyBorder="1" applyAlignment="1"/>
    <xf numFmtId="43" fontId="33" fillId="0" borderId="117" xfId="0" applyNumberFormat="1" applyFont="1" applyFill="1" applyBorder="1" applyAlignment="1"/>
    <xf numFmtId="43" fontId="33" fillId="0" borderId="0" xfId="0" applyNumberFormat="1" applyFont="1"/>
    <xf numFmtId="0" fontId="30" fillId="0" borderId="0" xfId="0" applyFont="1" applyAlignment="1"/>
    <xf numFmtId="0" fontId="30" fillId="0" borderId="0" xfId="0" applyFont="1" applyAlignment="1">
      <alignment horizontal="right"/>
    </xf>
    <xf numFmtId="10" fontId="30" fillId="0" borderId="0" xfId="0" applyNumberFormat="1" applyFont="1" applyBorder="1" applyAlignment="1">
      <alignment horizontal="right"/>
    </xf>
    <xf numFmtId="10" fontId="30" fillId="0" borderId="0" xfId="0" applyNumberFormat="1" applyFont="1" applyFill="1" applyBorder="1" applyAlignment="1"/>
    <xf numFmtId="0" fontId="37" fillId="0" borderId="0" xfId="0" applyFont="1" applyProtection="1">
      <protection hidden="1"/>
    </xf>
    <xf numFmtId="0" fontId="30" fillId="0" borderId="139" xfId="0" applyFont="1" applyBorder="1" applyProtection="1">
      <protection hidden="1"/>
    </xf>
    <xf numFmtId="0" fontId="28" fillId="0" borderId="9" xfId="0" applyFont="1" applyBorder="1" applyAlignment="1" applyProtection="1">
      <alignment horizontal="center"/>
      <protection hidden="1"/>
    </xf>
    <xf numFmtId="0" fontId="28" fillId="0" borderId="109" xfId="0" applyFont="1" applyBorder="1" applyAlignment="1" applyProtection="1">
      <alignment horizontal="center"/>
      <protection hidden="1"/>
    </xf>
    <xf numFmtId="0" fontId="28" fillId="0" borderId="111" xfId="0" applyFont="1" applyBorder="1" applyAlignment="1" applyProtection="1">
      <alignment horizontal="center"/>
      <protection hidden="1"/>
    </xf>
    <xf numFmtId="0" fontId="28" fillId="0" borderId="118" xfId="0" applyFont="1" applyBorder="1" applyAlignment="1" applyProtection="1">
      <alignment horizontal="center"/>
      <protection hidden="1"/>
    </xf>
    <xf numFmtId="0" fontId="28" fillId="0" borderId="90" xfId="0" applyFont="1" applyBorder="1" applyAlignment="1" applyProtection="1">
      <alignment horizontal="center"/>
      <protection hidden="1"/>
    </xf>
    <xf numFmtId="0" fontId="28" fillId="0" borderId="140" xfId="0" applyFont="1" applyBorder="1" applyAlignment="1" applyProtection="1">
      <alignment horizontal="center"/>
      <protection hidden="1"/>
    </xf>
    <xf numFmtId="0" fontId="30" fillId="0" borderId="138" xfId="0" applyFont="1" applyBorder="1" applyProtection="1">
      <protection hidden="1"/>
    </xf>
    <xf numFmtId="0" fontId="28" fillId="0" borderId="138" xfId="0" applyFont="1" applyBorder="1" applyAlignment="1" applyProtection="1">
      <alignment horizontal="center"/>
      <protection hidden="1"/>
    </xf>
    <xf numFmtId="0" fontId="28" fillId="0" borderId="106" xfId="0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/>
      <protection hidden="1"/>
    </xf>
    <xf numFmtId="0" fontId="28" fillId="0" borderId="107" xfId="0" applyFont="1" applyBorder="1" applyProtection="1">
      <protection hidden="1"/>
    </xf>
    <xf numFmtId="49" fontId="30" fillId="48" borderId="106" xfId="1" applyNumberFormat="1" applyFont="1" applyFill="1" applyBorder="1" applyAlignment="1" applyProtection="1">
      <protection hidden="1"/>
    </xf>
    <xf numFmtId="43" fontId="30" fillId="48" borderId="15" xfId="1" applyFont="1" applyFill="1" applyBorder="1" applyAlignment="1" applyProtection="1">
      <protection hidden="1"/>
    </xf>
    <xf numFmtId="43" fontId="30" fillId="48" borderId="106" xfId="1" applyFont="1" applyFill="1" applyBorder="1" applyAlignment="1" applyProtection="1">
      <protection hidden="1"/>
    </xf>
    <xf numFmtId="43" fontId="30" fillId="48" borderId="107" xfId="1" applyFont="1" applyFill="1" applyBorder="1" applyAlignment="1" applyProtection="1">
      <protection hidden="1"/>
    </xf>
    <xf numFmtId="43" fontId="30" fillId="48" borderId="106" xfId="0" applyNumberFormat="1" applyFont="1" applyFill="1" applyBorder="1" applyAlignment="1" applyProtection="1">
      <alignment horizontal="right"/>
      <protection hidden="1"/>
    </xf>
    <xf numFmtId="43" fontId="30" fillId="48" borderId="107" xfId="0" applyNumberFormat="1" applyFont="1" applyFill="1" applyBorder="1" applyAlignment="1" applyProtection="1">
      <alignment horizontal="right"/>
      <protection hidden="1"/>
    </xf>
    <xf numFmtId="43" fontId="30" fillId="48" borderId="13" xfId="1" applyFont="1" applyFill="1" applyBorder="1" applyAlignment="1" applyProtection="1">
      <protection hidden="1"/>
    </xf>
    <xf numFmtId="43" fontId="30" fillId="48" borderId="53" xfId="1" applyFont="1" applyFill="1" applyBorder="1" applyAlignment="1" applyProtection="1">
      <protection hidden="1"/>
    </xf>
    <xf numFmtId="49" fontId="30" fillId="48" borderId="138" xfId="0" applyNumberFormat="1" applyFont="1" applyFill="1" applyBorder="1" applyAlignment="1" applyProtection="1">
      <protection hidden="1"/>
    </xf>
    <xf numFmtId="43" fontId="30" fillId="48" borderId="138" xfId="1" applyFont="1" applyFill="1" applyBorder="1" applyAlignment="1" applyProtection="1">
      <protection hidden="1"/>
    </xf>
    <xf numFmtId="43" fontId="30" fillId="48" borderId="1" xfId="1" applyFont="1" applyFill="1" applyBorder="1" applyAlignment="1" applyProtection="1">
      <protection hidden="1"/>
    </xf>
    <xf numFmtId="43" fontId="30" fillId="48" borderId="107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30" fillId="48" borderId="15" xfId="1" applyFont="1" applyFill="1" applyBorder="1" applyAlignment="1" applyProtection="1">
      <alignment horizontal="right"/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8" fillId="0" borderId="15" xfId="0" applyNumberFormat="1" applyFont="1" applyFill="1" applyBorder="1" applyAlignment="1" applyProtection="1">
      <protection hidden="1"/>
    </xf>
    <xf numFmtId="43" fontId="28" fillId="0" borderId="106" xfId="1" applyNumberFormat="1" applyFont="1" applyFill="1" applyBorder="1" applyAlignment="1" applyProtection="1">
      <protection hidden="1"/>
    </xf>
    <xf numFmtId="43" fontId="28" fillId="0" borderId="107" xfId="1" applyNumberFormat="1" applyFont="1" applyFill="1" applyBorder="1" applyAlignment="1" applyProtection="1">
      <protection hidden="1"/>
    </xf>
    <xf numFmtId="43" fontId="28" fillId="0" borderId="13" xfId="1" applyNumberFormat="1" applyFont="1" applyFill="1" applyBorder="1" applyAlignment="1" applyProtection="1">
      <protection hidden="1"/>
    </xf>
    <xf numFmtId="43" fontId="28" fillId="0" borderId="15" xfId="1" applyNumberFormat="1" applyFont="1" applyFill="1" applyBorder="1" applyAlignment="1" applyProtection="1">
      <protection hidden="1"/>
    </xf>
    <xf numFmtId="43" fontId="28" fillId="0" borderId="53" xfId="1" applyNumberFormat="1" applyFont="1" applyFill="1" applyBorder="1" applyAlignment="1" applyProtection="1">
      <protection hidden="1"/>
    </xf>
    <xf numFmtId="3" fontId="28" fillId="0" borderId="138" xfId="0" applyNumberFormat="1" applyFont="1" applyFill="1" applyBorder="1" applyAlignment="1" applyProtection="1">
      <protection hidden="1"/>
    </xf>
    <xf numFmtId="43" fontId="28" fillId="0" borderId="138" xfId="0" applyNumberFormat="1" applyFont="1" applyFill="1" applyBorder="1" applyAlignment="1" applyProtection="1">
      <protection hidden="1"/>
    </xf>
    <xf numFmtId="43" fontId="28" fillId="0" borderId="106" xfId="1" applyFont="1" applyFill="1" applyBorder="1" applyAlignment="1" applyProtection="1">
      <protection hidden="1"/>
    </xf>
    <xf numFmtId="43" fontId="28" fillId="0" borderId="1" xfId="1" applyFont="1" applyFill="1" applyBorder="1" applyAlignment="1" applyProtection="1">
      <protection hidden="1"/>
    </xf>
    <xf numFmtId="43" fontId="28" fillId="0" borderId="107" xfId="1" applyFont="1" applyFill="1" applyBorder="1" applyAlignment="1" applyProtection="1">
      <protection hidden="1"/>
    </xf>
    <xf numFmtId="3" fontId="30" fillId="0" borderId="24" xfId="0" applyNumberFormat="1" applyFont="1" applyFill="1" applyBorder="1" applyAlignment="1" applyProtection="1">
      <protection hidden="1"/>
    </xf>
    <xf numFmtId="3" fontId="31" fillId="55" borderId="15" xfId="0" applyNumberFormat="1" applyFont="1" applyFill="1" applyBorder="1" applyAlignment="1" applyProtection="1">
      <protection hidden="1"/>
    </xf>
    <xf numFmtId="3" fontId="30" fillId="0" borderId="138" xfId="0" applyNumberFormat="1" applyFont="1" applyFill="1" applyBorder="1" applyAlignment="1" applyProtection="1">
      <protection hidden="1"/>
    </xf>
    <xf numFmtId="3" fontId="28" fillId="0" borderId="15" xfId="0" applyNumberFormat="1" applyFont="1" applyFill="1" applyBorder="1" applyAlignment="1" applyProtection="1">
      <alignment horizontal="center"/>
      <protection hidden="1"/>
    </xf>
    <xf numFmtId="3" fontId="28" fillId="0" borderId="106" xfId="0" applyNumberFormat="1" applyFont="1" applyFill="1" applyBorder="1" applyAlignment="1" applyProtection="1">
      <alignment horizontal="center"/>
      <protection hidden="1"/>
    </xf>
    <xf numFmtId="3" fontId="28" fillId="0" borderId="107" xfId="0" applyNumberFormat="1" applyFont="1" applyFill="1" applyBorder="1" applyAlignment="1" applyProtection="1">
      <alignment horizontal="center"/>
      <protection hidden="1"/>
    </xf>
    <xf numFmtId="3" fontId="28" fillId="0" borderId="13" xfId="0" applyNumberFormat="1" applyFont="1" applyFill="1" applyBorder="1" applyAlignment="1" applyProtection="1">
      <alignment horizontal="center"/>
      <protection hidden="1"/>
    </xf>
    <xf numFmtId="3" fontId="28" fillId="0" borderId="53" xfId="0" applyNumberFormat="1" applyFont="1" applyFill="1" applyBorder="1" applyAlignment="1" applyProtection="1">
      <alignment horizontal="center"/>
      <protection hidden="1"/>
    </xf>
    <xf numFmtId="49" fontId="30" fillId="49" borderId="24" xfId="0" applyNumberFormat="1" applyFont="1" applyFill="1" applyBorder="1" applyAlignment="1" applyProtection="1">
      <protection hidden="1"/>
    </xf>
    <xf numFmtId="43" fontId="30" fillId="49" borderId="15" xfId="1" applyFont="1" applyFill="1" applyBorder="1" applyAlignment="1" applyProtection="1">
      <alignment horizontal="right"/>
      <protection hidden="1"/>
    </xf>
    <xf numFmtId="43" fontId="30" fillId="49" borderId="106" xfId="0" applyNumberFormat="1" applyFont="1" applyFill="1" applyBorder="1" applyAlignment="1" applyProtection="1">
      <alignment horizontal="right"/>
      <protection hidden="1"/>
    </xf>
    <xf numFmtId="43" fontId="30" fillId="49" borderId="107" xfId="0" applyNumberFormat="1" applyFont="1" applyFill="1" applyBorder="1" applyAlignment="1" applyProtection="1">
      <alignment horizontal="right"/>
      <protection hidden="1"/>
    </xf>
    <xf numFmtId="43" fontId="30" fillId="49" borderId="13" xfId="0" applyNumberFormat="1" applyFont="1" applyFill="1" applyBorder="1" applyAlignment="1" applyProtection="1">
      <alignment horizontal="right"/>
      <protection hidden="1"/>
    </xf>
    <xf numFmtId="43" fontId="30" fillId="49" borderId="15" xfId="0" applyNumberFormat="1" applyFont="1" applyFill="1" applyBorder="1" applyAlignment="1" applyProtection="1">
      <alignment horizontal="right"/>
      <protection hidden="1"/>
    </xf>
    <xf numFmtId="43" fontId="30" fillId="49" borderId="53" xfId="0" applyNumberFormat="1" applyFont="1" applyFill="1" applyBorder="1" applyAlignment="1" applyProtection="1">
      <alignment horizontal="right"/>
      <protection hidden="1"/>
    </xf>
    <xf numFmtId="49" fontId="30" fillId="49" borderId="138" xfId="0" applyNumberFormat="1" applyFont="1" applyFill="1" applyBorder="1" applyAlignment="1" applyProtection="1">
      <protection hidden="1"/>
    </xf>
    <xf numFmtId="43" fontId="30" fillId="49" borderId="138" xfId="1" applyFont="1" applyFill="1" applyBorder="1" applyAlignment="1" applyProtection="1">
      <protection hidden="1"/>
    </xf>
    <xf numFmtId="43" fontId="30" fillId="49" borderId="106" xfId="1" applyFont="1" applyFill="1" applyBorder="1" applyAlignment="1" applyProtection="1">
      <protection hidden="1"/>
    </xf>
    <xf numFmtId="43" fontId="30" fillId="49" borderId="1" xfId="1" applyFont="1" applyFill="1" applyBorder="1" applyAlignment="1" applyProtection="1">
      <protection hidden="1"/>
    </xf>
    <xf numFmtId="43" fontId="30" fillId="49" borderId="107" xfId="0" applyNumberFormat="1" applyFont="1" applyFill="1" applyBorder="1" applyAlignment="1" applyProtection="1">
      <protection hidden="1"/>
    </xf>
    <xf numFmtId="49" fontId="30" fillId="49" borderId="28" xfId="0" applyNumberFormat="1" applyFont="1" applyFill="1" applyBorder="1" applyAlignment="1" applyProtection="1">
      <protection hidden="1"/>
    </xf>
    <xf numFmtId="43" fontId="30" fillId="49" borderId="4" xfId="1" applyFont="1" applyFill="1" applyBorder="1" applyAlignment="1" applyProtection="1">
      <alignment horizontal="right"/>
      <protection hidden="1"/>
    </xf>
    <xf numFmtId="43" fontId="28" fillId="0" borderId="142" xfId="0" applyNumberFormat="1" applyFont="1" applyFill="1" applyBorder="1" applyAlignment="1" applyProtection="1">
      <protection hidden="1"/>
    </xf>
    <xf numFmtId="43" fontId="28" fillId="0" borderId="116" xfId="1" applyNumberFormat="1" applyFont="1" applyFill="1" applyBorder="1" applyAlignment="1" applyProtection="1">
      <protection hidden="1"/>
    </xf>
    <xf numFmtId="43" fontId="28" fillId="0" borderId="138" xfId="1" applyFont="1" applyFill="1" applyBorder="1" applyAlignment="1" applyProtection="1">
      <protection hidden="1"/>
    </xf>
    <xf numFmtId="43" fontId="28" fillId="0" borderId="107" xfId="0" applyNumberFormat="1" applyFont="1" applyFill="1" applyBorder="1" applyAlignment="1" applyProtection="1">
      <protection hidden="1"/>
    </xf>
    <xf numFmtId="43" fontId="30" fillId="0" borderId="107" xfId="0" applyNumberFormat="1" applyFont="1" applyFill="1" applyBorder="1" applyAlignment="1" applyProtection="1">
      <protection hidden="1"/>
    </xf>
    <xf numFmtId="43" fontId="30" fillId="0" borderId="139" xfId="0" applyNumberFormat="1" applyFont="1" applyFill="1" applyBorder="1" applyAlignment="1" applyProtection="1">
      <protection hidden="1"/>
    </xf>
    <xf numFmtId="43" fontId="31" fillId="55" borderId="9" xfId="1" applyNumberFormat="1" applyFont="1" applyFill="1" applyBorder="1" applyAlignment="1" applyProtection="1">
      <protection hidden="1"/>
    </xf>
    <xf numFmtId="170" fontId="32" fillId="0" borderId="119" xfId="1" applyNumberFormat="1" applyFont="1" applyBorder="1" applyAlignment="1" applyProtection="1">
      <protection hidden="1"/>
    </xf>
    <xf numFmtId="170" fontId="32" fillId="0" borderId="14" xfId="1" applyNumberFormat="1" applyFont="1" applyBorder="1" applyAlignment="1" applyProtection="1">
      <protection hidden="1"/>
    </xf>
    <xf numFmtId="170" fontId="32" fillId="0" borderId="141" xfId="1" applyNumberFormat="1" applyFont="1" applyBorder="1" applyAlignment="1" applyProtection="1">
      <protection hidden="1"/>
    </xf>
    <xf numFmtId="170" fontId="32" fillId="0" borderId="106" xfId="1" applyNumberFormat="1" applyFont="1" applyBorder="1" applyAlignment="1" applyProtection="1">
      <protection hidden="1"/>
    </xf>
    <xf numFmtId="170" fontId="32" fillId="0" borderId="1" xfId="1" applyNumberFormat="1" applyFont="1" applyBorder="1" applyAlignment="1" applyProtection="1">
      <protection hidden="1"/>
    </xf>
    <xf numFmtId="170" fontId="32" fillId="0" borderId="107" xfId="1" applyNumberFormat="1" applyFont="1" applyBorder="1" applyAlignment="1" applyProtection="1">
      <protection hidden="1"/>
    </xf>
    <xf numFmtId="43" fontId="33" fillId="0" borderId="106" xfId="0" applyNumberFormat="1" applyFont="1" applyFill="1" applyBorder="1" applyAlignment="1" applyProtection="1">
      <protection hidden="1"/>
    </xf>
    <xf numFmtId="43" fontId="33" fillId="0" borderId="107" xfId="0" applyNumberFormat="1" applyFont="1" applyFill="1" applyBorder="1" applyAlignment="1" applyProtection="1">
      <protection hidden="1"/>
    </xf>
    <xf numFmtId="43" fontId="33" fillId="0" borderId="13" xfId="0" applyNumberFormat="1" applyFont="1" applyFill="1" applyBorder="1" applyAlignment="1" applyProtection="1">
      <protection hidden="1"/>
    </xf>
    <xf numFmtId="43" fontId="33" fillId="0" borderId="15" xfId="0" applyNumberFormat="1" applyFont="1" applyFill="1" applyBorder="1" applyAlignment="1" applyProtection="1">
      <protection hidden="1"/>
    </xf>
    <xf numFmtId="43" fontId="33" fillId="0" borderId="53" xfId="0" applyNumberFormat="1" applyFont="1" applyFill="1" applyBorder="1" applyAlignment="1" applyProtection="1">
      <protection hidden="1"/>
    </xf>
    <xf numFmtId="3" fontId="28" fillId="50" borderId="138" xfId="0" applyNumberFormat="1" applyFont="1" applyFill="1" applyBorder="1" applyAlignment="1" applyProtection="1">
      <protection hidden="1"/>
    </xf>
    <xf numFmtId="43" fontId="30" fillId="50" borderId="138" xfId="0" applyNumberFormat="1" applyFont="1" applyFill="1" applyBorder="1" applyAlignment="1" applyProtection="1">
      <protection hidden="1"/>
    </xf>
    <xf numFmtId="43" fontId="33" fillId="50" borderId="106" xfId="1" applyFont="1" applyFill="1" applyBorder="1" applyAlignment="1" applyProtection="1">
      <protection hidden="1"/>
    </xf>
    <xf numFmtId="43" fontId="33" fillId="50" borderId="1" xfId="1" applyFont="1" applyFill="1" applyBorder="1" applyAlignment="1" applyProtection="1">
      <protection hidden="1"/>
    </xf>
    <xf numFmtId="43" fontId="33" fillId="50" borderId="107" xfId="1" applyFont="1" applyFill="1" applyBorder="1" applyAlignment="1" applyProtection="1">
      <protection hidden="1"/>
    </xf>
    <xf numFmtId="43" fontId="33" fillId="50" borderId="106" xfId="0" applyNumberFormat="1" applyFont="1" applyFill="1" applyBorder="1" applyAlignment="1" applyProtection="1">
      <protection hidden="1"/>
    </xf>
    <xf numFmtId="43" fontId="33" fillId="50" borderId="107" xfId="0" applyNumberFormat="1" applyFont="1" applyFill="1" applyBorder="1" applyAlignment="1" applyProtection="1">
      <protection hidden="1"/>
    </xf>
    <xf numFmtId="43" fontId="33" fillId="50" borderId="13" xfId="0" applyNumberFormat="1" applyFont="1" applyFill="1" applyBorder="1" applyAlignment="1" applyProtection="1">
      <protection hidden="1"/>
    </xf>
    <xf numFmtId="43" fontId="33" fillId="50" borderId="15" xfId="0" applyNumberFormat="1" applyFont="1" applyFill="1" applyBorder="1" applyAlignment="1" applyProtection="1">
      <protection hidden="1"/>
    </xf>
    <xf numFmtId="49" fontId="30" fillId="52" borderId="24" xfId="0" applyNumberFormat="1" applyFont="1" applyFill="1" applyBorder="1" applyAlignment="1" applyProtection="1">
      <protection hidden="1"/>
    </xf>
    <xf numFmtId="43" fontId="30" fillId="52" borderId="15" xfId="1" applyFont="1" applyFill="1" applyBorder="1" applyAlignment="1" applyProtection="1">
      <protection hidden="1"/>
    </xf>
    <xf numFmtId="43" fontId="30" fillId="52" borderId="106" xfId="0" applyNumberFormat="1" applyFont="1" applyFill="1" applyBorder="1" applyAlignment="1" applyProtection="1">
      <protection hidden="1"/>
    </xf>
    <xf numFmtId="43" fontId="30" fillId="52" borderId="107" xfId="0" applyNumberFormat="1" applyFont="1" applyFill="1" applyBorder="1" applyAlignment="1" applyProtection="1">
      <protection hidden="1"/>
    </xf>
    <xf numFmtId="43" fontId="30" fillId="52" borderId="107" xfId="0" applyNumberFormat="1" applyFont="1" applyFill="1" applyBorder="1" applyAlignment="1" applyProtection="1">
      <alignment horizontal="right"/>
      <protection hidden="1"/>
    </xf>
    <xf numFmtId="43" fontId="30" fillId="52" borderId="13" xfId="0" applyNumberFormat="1" applyFont="1" applyFill="1" applyBorder="1" applyAlignment="1" applyProtection="1">
      <protection hidden="1"/>
    </xf>
    <xf numFmtId="43" fontId="30" fillId="52" borderId="15" xfId="0" applyNumberFormat="1" applyFont="1" applyFill="1" applyBorder="1" applyAlignment="1" applyProtection="1">
      <protection hidden="1"/>
    </xf>
    <xf numFmtId="43" fontId="30" fillId="52" borderId="53" xfId="0" applyNumberFormat="1" applyFont="1" applyFill="1" applyBorder="1" applyAlignment="1" applyProtection="1">
      <protection hidden="1"/>
    </xf>
    <xf numFmtId="49" fontId="30" fillId="52" borderId="138" xfId="0" applyNumberFormat="1" applyFont="1" applyFill="1" applyBorder="1" applyAlignment="1" applyProtection="1">
      <protection hidden="1"/>
    </xf>
    <xf numFmtId="43" fontId="30" fillId="52" borderId="138" xfId="1" applyFont="1" applyFill="1" applyBorder="1" applyAlignment="1" applyProtection="1">
      <protection hidden="1"/>
    </xf>
    <xf numFmtId="43" fontId="30" fillId="52" borderId="106" xfId="1" applyFont="1" applyFill="1" applyBorder="1" applyAlignment="1" applyProtection="1">
      <protection hidden="1"/>
    </xf>
    <xf numFmtId="43" fontId="30" fillId="52" borderId="1" xfId="1" applyFont="1" applyFill="1" applyBorder="1" applyAlignment="1" applyProtection="1">
      <protection hidden="1"/>
    </xf>
    <xf numFmtId="49" fontId="30" fillId="52" borderId="24" xfId="0" applyNumberFormat="1" applyFont="1" applyFill="1" applyBorder="1" applyProtection="1">
      <protection hidden="1"/>
    </xf>
    <xf numFmtId="43" fontId="30" fillId="52" borderId="15" xfId="0" applyNumberFormat="1" applyFont="1" applyFill="1" applyBorder="1" applyProtection="1">
      <protection hidden="1"/>
    </xf>
    <xf numFmtId="49" fontId="30" fillId="52" borderId="28" xfId="0" applyNumberFormat="1" applyFont="1" applyFill="1" applyBorder="1" applyProtection="1">
      <protection hidden="1"/>
    </xf>
    <xf numFmtId="43" fontId="30" fillId="52" borderId="4" xfId="0" applyNumberFormat="1" applyFont="1" applyFill="1" applyBorder="1" applyProtection="1">
      <protection hidden="1"/>
    </xf>
    <xf numFmtId="49" fontId="38" fillId="52" borderId="28" xfId="0" applyNumberFormat="1" applyFont="1" applyFill="1" applyBorder="1" applyProtection="1">
      <protection hidden="1"/>
    </xf>
    <xf numFmtId="3" fontId="28" fillId="0" borderId="142" xfId="0" applyNumberFormat="1" applyFont="1" applyFill="1" applyBorder="1" applyAlignment="1" applyProtection="1">
      <protection hidden="1"/>
    </xf>
    <xf numFmtId="43" fontId="28" fillId="0" borderId="116" xfId="1" applyFont="1" applyFill="1" applyBorder="1" applyAlignment="1" applyProtection="1">
      <protection hidden="1"/>
    </xf>
    <xf numFmtId="43" fontId="28" fillId="0" borderId="13" xfId="1" applyFont="1" applyFill="1" applyBorder="1" applyAlignment="1" applyProtection="1">
      <protection hidden="1"/>
    </xf>
    <xf numFmtId="43" fontId="28" fillId="0" borderId="15" xfId="1" applyFont="1" applyFill="1" applyBorder="1" applyAlignment="1" applyProtection="1">
      <protection hidden="1"/>
    </xf>
    <xf numFmtId="43" fontId="28" fillId="0" borderId="53" xfId="1" applyFont="1" applyFill="1" applyBorder="1" applyAlignment="1" applyProtection="1">
      <protection hidden="1"/>
    </xf>
    <xf numFmtId="3" fontId="30" fillId="0" borderId="139" xfId="0" applyNumberFormat="1" applyFont="1" applyFill="1" applyBorder="1" applyAlignment="1" applyProtection="1">
      <protection hidden="1"/>
    </xf>
    <xf numFmtId="3" fontId="31" fillId="0" borderId="9" xfId="1" applyNumberFormat="1" applyFont="1" applyFill="1" applyBorder="1" applyAlignment="1" applyProtection="1">
      <protection hidden="1"/>
    </xf>
    <xf numFmtId="3" fontId="30" fillId="0" borderId="143" xfId="0" applyNumberFormat="1" applyFont="1" applyFill="1" applyBorder="1" applyAlignment="1" applyProtection="1">
      <protection hidden="1"/>
    </xf>
    <xf numFmtId="43" fontId="28" fillId="50" borderId="106" xfId="1" applyFont="1" applyFill="1" applyBorder="1" applyAlignment="1" applyProtection="1">
      <protection hidden="1"/>
    </xf>
    <xf numFmtId="43" fontId="28" fillId="50" borderId="107" xfId="1" applyFont="1" applyFill="1" applyBorder="1" applyAlignment="1" applyProtection="1">
      <protection hidden="1"/>
    </xf>
    <xf numFmtId="43" fontId="28" fillId="50" borderId="13" xfId="1" applyFont="1" applyFill="1" applyBorder="1" applyAlignment="1" applyProtection="1">
      <protection hidden="1"/>
    </xf>
    <xf numFmtId="43" fontId="28" fillId="50" borderId="53" xfId="1" applyFont="1" applyFill="1" applyBorder="1" applyAlignment="1" applyProtection="1">
      <protection hidden="1"/>
    </xf>
    <xf numFmtId="43" fontId="33" fillId="50" borderId="101" xfId="0" applyNumberFormat="1" applyFont="1" applyFill="1" applyBorder="1" applyAlignment="1" applyProtection="1">
      <protection hidden="1"/>
    </xf>
    <xf numFmtId="43" fontId="33" fillId="50" borderId="108" xfId="0" applyNumberFormat="1" applyFont="1" applyFill="1" applyBorder="1" applyAlignment="1" applyProtection="1">
      <protection hidden="1"/>
    </xf>
    <xf numFmtId="43" fontId="33" fillId="50" borderId="114" xfId="0" applyNumberFormat="1" applyFont="1" applyFill="1" applyBorder="1" applyAlignment="1" applyProtection="1">
      <protection hidden="1"/>
    </xf>
    <xf numFmtId="43" fontId="0" fillId="55" borderId="145" xfId="0" applyNumberFormat="1" applyFill="1" applyBorder="1" applyAlignment="1" applyProtection="1">
      <alignment vertical="center"/>
      <protection hidden="1"/>
    </xf>
    <xf numFmtId="43" fontId="33" fillId="55" borderId="146" xfId="1" applyFont="1" applyFill="1" applyBorder="1" applyAlignment="1" applyProtection="1">
      <alignment vertical="center"/>
      <protection hidden="1"/>
    </xf>
    <xf numFmtId="43" fontId="36" fillId="55" borderId="145" xfId="0" applyNumberFormat="1" applyFont="1" applyFill="1" applyBorder="1" applyAlignment="1" applyProtection="1">
      <alignment vertical="center"/>
      <protection hidden="1"/>
    </xf>
    <xf numFmtId="43" fontId="33" fillId="55" borderId="145" xfId="1" applyFont="1" applyFill="1" applyBorder="1" applyAlignment="1" applyProtection="1">
      <alignment vertical="center"/>
      <protection hidden="1"/>
    </xf>
    <xf numFmtId="43" fontId="33" fillId="55" borderId="48" xfId="1" applyFont="1" applyFill="1" applyBorder="1" applyAlignment="1" applyProtection="1">
      <alignment vertical="center"/>
      <protection hidden="1"/>
    </xf>
    <xf numFmtId="43" fontId="33" fillId="55" borderId="144" xfId="1" applyFont="1" applyFill="1" applyBorder="1" applyAlignment="1" applyProtection="1">
      <alignment vertical="center"/>
      <protection hidden="1"/>
    </xf>
    <xf numFmtId="43" fontId="36" fillId="55" borderId="48" xfId="0" applyNumberFormat="1" applyFont="1" applyFill="1" applyBorder="1" applyAlignment="1" applyProtection="1">
      <alignment vertical="center"/>
      <protection hidden="1"/>
    </xf>
    <xf numFmtId="43" fontId="33" fillId="55" borderId="147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43" fontId="30" fillId="0" borderId="117" xfId="0" applyNumberFormat="1" applyFont="1" applyBorder="1" applyAlignment="1" applyProtection="1">
      <alignment vertical="center"/>
      <protection hidden="1"/>
    </xf>
    <xf numFmtId="43" fontId="33" fillId="54" borderId="117" xfId="0" applyNumberFormat="1" applyFont="1" applyFill="1" applyBorder="1" applyAlignment="1" applyProtection="1">
      <alignment vertical="center"/>
      <protection hidden="1"/>
    </xf>
    <xf numFmtId="43" fontId="33" fillId="0" borderId="117" xfId="0" applyNumberFormat="1" applyFont="1" applyBorder="1" applyAlignment="1" applyProtection="1">
      <alignment vertical="center"/>
      <protection hidden="1"/>
    </xf>
    <xf numFmtId="43" fontId="33" fillId="0" borderId="117" xfId="0" applyNumberFormat="1" applyFont="1" applyFill="1" applyBorder="1" applyAlignment="1" applyProtection="1">
      <alignment vertical="center"/>
      <protection hidden="1"/>
    </xf>
    <xf numFmtId="43" fontId="33" fillId="0" borderId="0" xfId="0" applyNumberFormat="1" applyFont="1" applyAlignment="1" applyProtection="1">
      <alignment vertical="center"/>
      <protection hidden="1"/>
    </xf>
    <xf numFmtId="43" fontId="33" fillId="54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41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46" fillId="0" borderId="0" xfId="2" applyFont="1" applyAlignment="1" applyProtection="1">
      <alignment vertical="center"/>
      <protection hidden="1"/>
    </xf>
    <xf numFmtId="0" fontId="41" fillId="0" borderId="0" xfId="2" applyFont="1" applyAlignment="1">
      <alignment horizontal="right" vertical="center"/>
    </xf>
    <xf numFmtId="0" fontId="41" fillId="0" borderId="0" xfId="2" applyFont="1" applyBorder="1" applyAlignment="1">
      <alignment vertical="center"/>
    </xf>
    <xf numFmtId="4" fontId="41" fillId="0" borderId="0" xfId="2" applyNumberFormat="1" applyFont="1" applyAlignment="1">
      <alignment horizontal="right" vertical="center"/>
    </xf>
    <xf numFmtId="4" fontId="41" fillId="0" borderId="0" xfId="2" applyNumberFormat="1" applyFont="1" applyAlignment="1">
      <alignment vertical="center"/>
    </xf>
    <xf numFmtId="43" fontId="30" fillId="56" borderId="112" xfId="0" applyNumberFormat="1" applyFont="1" applyFill="1" applyBorder="1" applyAlignment="1">
      <alignment horizontal="right" vertical="center"/>
    </xf>
    <xf numFmtId="43" fontId="30" fillId="56" borderId="120" xfId="0" applyNumberFormat="1" applyFont="1" applyFill="1" applyBorder="1" applyAlignment="1">
      <alignment horizontal="right" vertical="center"/>
    </xf>
    <xf numFmtId="0" fontId="41" fillId="3" borderId="0" xfId="2" applyFont="1" applyFill="1" applyAlignment="1">
      <alignment vertical="center"/>
    </xf>
    <xf numFmtId="0" fontId="41" fillId="3" borderId="0" xfId="2" applyFont="1" applyFill="1" applyAlignment="1">
      <alignment horizontal="right" vertical="center"/>
    </xf>
    <xf numFmtId="4" fontId="41" fillId="3" borderId="0" xfId="2" applyNumberFormat="1" applyFont="1" applyFill="1" applyAlignment="1">
      <alignment horizontal="right" vertical="center"/>
    </xf>
    <xf numFmtId="43" fontId="18" fillId="33" borderId="1" xfId="0" applyNumberFormat="1" applyFont="1" applyFill="1" applyBorder="1" applyAlignment="1" applyProtection="1">
      <alignment horizontal="right" vertical="center"/>
      <protection hidden="1"/>
    </xf>
    <xf numFmtId="43" fontId="18" fillId="33" borderId="65" xfId="0" applyNumberFormat="1" applyFont="1" applyFill="1" applyBorder="1" applyAlignment="1" applyProtection="1">
      <alignment horizontal="right" vertical="center"/>
      <protection hidden="1"/>
    </xf>
    <xf numFmtId="43" fontId="18" fillId="33" borderId="63" xfId="0" applyNumberFormat="1" applyFont="1" applyFill="1" applyBorder="1" applyAlignment="1" applyProtection="1">
      <alignment horizontal="right" vertical="center"/>
      <protection hidden="1"/>
    </xf>
    <xf numFmtId="43" fontId="18" fillId="33" borderId="13" xfId="0" applyNumberFormat="1" applyFont="1" applyFill="1" applyBorder="1" applyAlignment="1" applyProtection="1">
      <alignment horizontal="right" vertical="center"/>
      <protection hidden="1"/>
    </xf>
    <xf numFmtId="43" fontId="18" fillId="22" borderId="1" xfId="0" applyNumberFormat="1" applyFont="1" applyFill="1" applyBorder="1" applyAlignment="1" applyProtection="1">
      <alignment horizontal="right" vertical="center"/>
      <protection hidden="1"/>
    </xf>
    <xf numFmtId="43" fontId="18" fillId="22" borderId="1" xfId="0" applyNumberFormat="1" applyFont="1" applyFill="1" applyBorder="1" applyAlignment="1" applyProtection="1">
      <alignment horizontal="center" vertical="center"/>
      <protection hidden="1"/>
    </xf>
    <xf numFmtId="43" fontId="18" fillId="22" borderId="63" xfId="0" applyNumberFormat="1" applyFont="1" applyFill="1" applyBorder="1" applyAlignment="1" applyProtection="1">
      <alignment horizontal="right" vertical="center"/>
      <protection hidden="1"/>
    </xf>
    <xf numFmtId="43" fontId="18" fillId="22" borderId="13" xfId="0" applyNumberFormat="1" applyFont="1" applyFill="1" applyBorder="1" applyAlignment="1" applyProtection="1">
      <alignment horizontal="right" vertical="center"/>
      <protection hidden="1"/>
    </xf>
    <xf numFmtId="43" fontId="18" fillId="22" borderId="15" xfId="0" applyNumberFormat="1" applyFont="1" applyFill="1" applyBorder="1" applyAlignment="1" applyProtection="1">
      <alignment horizontal="right" vertical="center"/>
      <protection hidden="1"/>
    </xf>
    <xf numFmtId="43" fontId="21" fillId="33" borderId="1" xfId="0" applyNumberFormat="1" applyFont="1" applyFill="1" applyBorder="1" applyAlignment="1" applyProtection="1">
      <alignment horizontal="right" vertical="center"/>
      <protection hidden="1"/>
    </xf>
    <xf numFmtId="43" fontId="21" fillId="33" borderId="63" xfId="0" applyNumberFormat="1" applyFont="1" applyFill="1" applyBorder="1" applyAlignment="1" applyProtection="1">
      <alignment horizontal="right" vertical="center"/>
      <protection hidden="1"/>
    </xf>
    <xf numFmtId="43" fontId="21" fillId="33" borderId="13" xfId="0" applyNumberFormat="1" applyFont="1" applyFill="1" applyBorder="1" applyAlignment="1" applyProtection="1">
      <alignment horizontal="right" vertical="center"/>
      <protection hidden="1"/>
    </xf>
    <xf numFmtId="43" fontId="18" fillId="34" borderId="1" xfId="0" applyNumberFormat="1" applyFont="1" applyFill="1" applyBorder="1" applyAlignment="1" applyProtection="1">
      <alignment horizontal="right" vertical="center"/>
      <protection hidden="1"/>
    </xf>
    <xf numFmtId="43" fontId="18" fillId="34" borderId="1" xfId="0" applyNumberFormat="1" applyFont="1" applyFill="1" applyBorder="1" applyAlignment="1" applyProtection="1">
      <alignment horizontal="center" vertical="center"/>
      <protection hidden="1"/>
    </xf>
    <xf numFmtId="43" fontId="18" fillId="34" borderId="63" xfId="0" applyNumberFormat="1" applyFont="1" applyFill="1" applyBorder="1" applyAlignment="1" applyProtection="1">
      <alignment horizontal="right" vertical="center"/>
      <protection hidden="1"/>
    </xf>
    <xf numFmtId="43" fontId="18" fillId="34" borderId="13" xfId="0" applyNumberFormat="1" applyFont="1" applyFill="1" applyBorder="1" applyAlignment="1" applyProtection="1">
      <alignment horizontal="right" vertical="center"/>
      <protection hidden="1"/>
    </xf>
    <xf numFmtId="43" fontId="18" fillId="34" borderId="15" xfId="0" applyNumberFormat="1" applyFont="1" applyFill="1" applyBorder="1" applyAlignment="1" applyProtection="1">
      <alignment horizontal="right" vertical="center"/>
      <protection hidden="1"/>
    </xf>
    <xf numFmtId="43" fontId="18" fillId="33" borderId="65" xfId="0" applyNumberFormat="1" applyFont="1" applyFill="1" applyBorder="1" applyAlignment="1" applyProtection="1">
      <alignment vertical="center"/>
      <protection hidden="1"/>
    </xf>
    <xf numFmtId="49" fontId="18" fillId="22" borderId="1" xfId="0" applyNumberFormat="1" applyFont="1" applyFill="1" applyBorder="1" applyAlignment="1" applyProtection="1">
      <alignment horizontal="center" vertical="center"/>
      <protection hidden="1"/>
    </xf>
    <xf numFmtId="43" fontId="18" fillId="0" borderId="0" xfId="0" applyNumberFormat="1" applyFont="1" applyBorder="1"/>
    <xf numFmtId="43" fontId="18" fillId="35" borderId="1" xfId="0" applyNumberFormat="1" applyFont="1" applyFill="1" applyBorder="1" applyAlignment="1" applyProtection="1">
      <alignment horizontal="right" vertical="center"/>
      <protection hidden="1"/>
    </xf>
    <xf numFmtId="43" fontId="18" fillId="35" borderId="15" xfId="0" applyNumberFormat="1" applyFont="1" applyFill="1" applyBorder="1" applyAlignment="1" applyProtection="1">
      <alignment horizontal="right" vertical="center"/>
      <protection hidden="1"/>
    </xf>
    <xf numFmtId="43" fontId="18" fillId="22" borderId="14" xfId="0" applyNumberFormat="1" applyFont="1" applyFill="1" applyBorder="1" applyAlignment="1" applyProtection="1">
      <alignment horizontal="right" vertical="center"/>
      <protection hidden="1"/>
    </xf>
    <xf numFmtId="166" fontId="18" fillId="32" borderId="154" xfId="0" applyNumberFormat="1" applyFont="1" applyFill="1" applyBorder="1" applyAlignment="1" applyProtection="1">
      <alignment horizontal="right" vertical="center" wrapText="1"/>
      <protection hidden="1"/>
    </xf>
    <xf numFmtId="43" fontId="18" fillId="22" borderId="64" xfId="0" applyNumberFormat="1" applyFont="1" applyFill="1" applyBorder="1" applyAlignment="1" applyProtection="1">
      <alignment horizontal="right" vertical="center"/>
      <protection hidden="1"/>
    </xf>
    <xf numFmtId="43" fontId="18" fillId="22" borderId="155" xfId="0" applyNumberFormat="1" applyFont="1" applyFill="1" applyBorder="1" applyAlignment="1" applyProtection="1">
      <alignment horizontal="right" vertical="center"/>
      <protection hidden="1"/>
    </xf>
    <xf numFmtId="166" fontId="18" fillId="0" borderId="155" xfId="0" applyNumberFormat="1" applyFont="1" applyFill="1" applyBorder="1" applyAlignment="1" applyProtection="1">
      <alignment horizontal="right" vertical="center"/>
      <protection hidden="1"/>
    </xf>
    <xf numFmtId="166" fontId="18" fillId="37" borderId="64" xfId="0" applyNumberFormat="1" applyFont="1" applyFill="1" applyBorder="1" applyAlignment="1" applyProtection="1">
      <alignment horizontal="right" vertical="center"/>
      <protection hidden="1"/>
    </xf>
    <xf numFmtId="166" fontId="18" fillId="38" borderId="64" xfId="0" applyNumberFormat="1" applyFont="1" applyFill="1" applyBorder="1" applyAlignment="1" applyProtection="1">
      <alignment horizontal="right" vertical="center"/>
      <protection hidden="1"/>
    </xf>
    <xf numFmtId="166" fontId="18" fillId="25" borderId="64" xfId="0" applyNumberFormat="1" applyFont="1" applyFill="1" applyBorder="1" applyAlignment="1" applyProtection="1">
      <alignment horizontal="right" vertical="center"/>
      <protection hidden="1"/>
    </xf>
    <xf numFmtId="166" fontId="18" fillId="31" borderId="64" xfId="0" applyNumberFormat="1" applyFont="1" applyFill="1" applyBorder="1" applyAlignment="1" applyProtection="1">
      <alignment horizontal="right" vertical="center"/>
      <protection hidden="1"/>
    </xf>
    <xf numFmtId="166" fontId="18" fillId="39" borderId="64" xfId="0" applyNumberFormat="1" applyFont="1" applyFill="1" applyBorder="1" applyAlignment="1" applyProtection="1">
      <alignment horizontal="right" vertical="center"/>
      <protection hidden="1"/>
    </xf>
    <xf numFmtId="166" fontId="18" fillId="40" borderId="64" xfId="0" applyNumberFormat="1" applyFont="1" applyFill="1" applyBorder="1" applyAlignment="1" applyProtection="1">
      <alignment horizontal="right" vertical="center"/>
      <protection hidden="1"/>
    </xf>
    <xf numFmtId="166" fontId="18" fillId="41" borderId="156" xfId="0" applyNumberFormat="1" applyFont="1" applyFill="1" applyBorder="1" applyAlignment="1" applyProtection="1">
      <alignment horizontal="right" vertical="center"/>
      <protection hidden="1"/>
    </xf>
    <xf numFmtId="166" fontId="18" fillId="42" borderId="64" xfId="0" applyNumberFormat="1" applyFont="1" applyFill="1" applyBorder="1" applyAlignment="1" applyProtection="1">
      <alignment horizontal="right" vertical="center"/>
      <protection hidden="1"/>
    </xf>
    <xf numFmtId="166" fontId="18" fillId="0" borderId="155" xfId="0" applyNumberFormat="1" applyFont="1" applyFill="1" applyBorder="1" applyAlignment="1" applyProtection="1">
      <alignment horizontal="right"/>
      <protection hidden="1"/>
    </xf>
    <xf numFmtId="166" fontId="18" fillId="44" borderId="155" xfId="0" applyNumberFormat="1" applyFont="1" applyFill="1" applyBorder="1" applyAlignment="1" applyProtection="1">
      <alignment horizontal="right" vertical="center"/>
      <protection hidden="1"/>
    </xf>
    <xf numFmtId="166" fontId="18" fillId="45" borderId="64" xfId="0" applyNumberFormat="1" applyFont="1" applyFill="1" applyBorder="1" applyAlignment="1" applyProtection="1">
      <alignment horizontal="right"/>
      <protection hidden="1"/>
    </xf>
    <xf numFmtId="167" fontId="18" fillId="46" borderId="64" xfId="0" applyNumberFormat="1" applyFont="1" applyFill="1" applyBorder="1" applyAlignment="1" applyProtection="1">
      <alignment horizontal="right" vertical="center"/>
      <protection hidden="1"/>
    </xf>
    <xf numFmtId="167" fontId="18" fillId="47" borderId="157" xfId="0" applyNumberFormat="1" applyFont="1" applyFill="1" applyBorder="1" applyAlignment="1" applyProtection="1">
      <alignment horizontal="right" vertical="center"/>
      <protection hidden="1"/>
    </xf>
    <xf numFmtId="44" fontId="18" fillId="36" borderId="1" xfId="0" applyNumberFormat="1" applyFont="1" applyFill="1" applyBorder="1" applyAlignment="1" applyProtection="1">
      <alignment horizontal="right" vertical="center"/>
      <protection hidden="1"/>
    </xf>
    <xf numFmtId="44" fontId="18" fillId="36" borderId="15" xfId="0" applyNumberFormat="1" applyFont="1" applyFill="1" applyBorder="1" applyAlignment="1" applyProtection="1">
      <alignment horizontal="right" vertical="center"/>
      <protection hidden="1"/>
    </xf>
    <xf numFmtId="44" fontId="18" fillId="36" borderId="64" xfId="0" applyNumberFormat="1" applyFont="1" applyFill="1" applyBorder="1" applyAlignment="1" applyProtection="1">
      <alignment horizontal="right" vertical="center"/>
      <protection hidden="1"/>
    </xf>
    <xf numFmtId="0" fontId="39" fillId="0" borderId="0" xfId="2"/>
    <xf numFmtId="0" fontId="39" fillId="0" borderId="0" xfId="2" applyFont="1"/>
    <xf numFmtId="0" fontId="39" fillId="0" borderId="0" xfId="2" applyAlignment="1">
      <alignment vertical="center"/>
    </xf>
    <xf numFmtId="0" fontId="8" fillId="57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8" borderId="158" xfId="2" applyFont="1" applyFill="1" applyBorder="1" applyAlignment="1">
      <alignment horizontal="right" vertical="center"/>
    </xf>
    <xf numFmtId="4" fontId="1" fillId="58" borderId="161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9" borderId="162" xfId="2" applyFont="1" applyFill="1" applyBorder="1" applyAlignment="1">
      <alignment horizontal="right" vertical="center"/>
    </xf>
    <xf numFmtId="4" fontId="1" fillId="59" borderId="161" xfId="2" applyNumberFormat="1" applyFont="1" applyFill="1" applyBorder="1" applyAlignment="1">
      <alignment vertical="center"/>
    </xf>
    <xf numFmtId="0" fontId="1" fillId="60" borderId="164" xfId="2" applyFont="1" applyFill="1" applyBorder="1" applyAlignment="1">
      <alignment vertical="center"/>
    </xf>
    <xf numFmtId="4" fontId="1" fillId="60" borderId="167" xfId="2" applyNumberFormat="1" applyFont="1" applyFill="1" applyBorder="1" applyAlignment="1">
      <alignment vertical="center"/>
    </xf>
    <xf numFmtId="0" fontId="1" fillId="61" borderId="168" xfId="2" applyFont="1" applyFill="1" applyBorder="1" applyAlignment="1">
      <alignment vertical="center"/>
    </xf>
    <xf numFmtId="4" fontId="1" fillId="61" borderId="47" xfId="2" applyNumberFormat="1" applyFont="1" applyFill="1" applyBorder="1" applyAlignment="1">
      <alignment vertical="center"/>
    </xf>
    <xf numFmtId="0" fontId="39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9" fillId="0" borderId="0" xfId="2" applyFill="1"/>
    <xf numFmtId="0" fontId="29" fillId="0" borderId="0" xfId="2" applyFont="1" applyFill="1" applyAlignment="1">
      <alignment vertical="center"/>
    </xf>
    <xf numFmtId="0" fontId="2" fillId="62" borderId="0" xfId="2" applyFont="1" applyFill="1" applyBorder="1" applyAlignment="1">
      <alignment vertical="center"/>
    </xf>
    <xf numFmtId="4" fontId="2" fillId="62" borderId="0" xfId="2" applyNumberFormat="1" applyFont="1" applyFill="1" applyBorder="1" applyAlignment="1">
      <alignment vertical="center"/>
    </xf>
    <xf numFmtId="0" fontId="29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63" borderId="0" xfId="2" applyFont="1" applyFill="1" applyBorder="1" applyAlignment="1">
      <alignment horizontal="left" vertical="center"/>
    </xf>
    <xf numFmtId="4" fontId="2" fillId="63" borderId="0" xfId="2" applyNumberFormat="1" applyFont="1" applyFill="1" applyBorder="1" applyAlignment="1">
      <alignment vertical="center"/>
    </xf>
    <xf numFmtId="0" fontId="39" fillId="0" borderId="171" xfId="2" applyBorder="1" applyAlignment="1">
      <alignment horizontal="left"/>
    </xf>
    <xf numFmtId="0" fontId="39" fillId="0" borderId="171" xfId="2" applyFont="1" applyBorder="1"/>
    <xf numFmtId="0" fontId="39" fillId="0" borderId="0" xfId="2" applyAlignment="1">
      <alignment horizontal="left"/>
    </xf>
    <xf numFmtId="43" fontId="30" fillId="51" borderId="15" xfId="0" applyNumberFormat="1" applyFont="1" applyFill="1" applyBorder="1" applyAlignment="1"/>
    <xf numFmtId="49" fontId="30" fillId="64" borderId="112" xfId="0" applyNumberFormat="1" applyFont="1" applyFill="1" applyBorder="1" applyAlignment="1"/>
    <xf numFmtId="43" fontId="30" fillId="64" borderId="4" xfId="0" applyNumberFormat="1" applyFont="1" applyFill="1" applyBorder="1"/>
    <xf numFmtId="43" fontId="30" fillId="64" borderId="112" xfId="0" applyNumberFormat="1" applyFont="1" applyFill="1" applyBorder="1" applyAlignment="1">
      <alignment horizontal="right" vertical="center"/>
    </xf>
    <xf numFmtId="43" fontId="30" fillId="64" borderId="120" xfId="0" applyNumberFormat="1" applyFont="1" applyFill="1" applyBorder="1" applyAlignment="1">
      <alignment horizontal="right" vertical="center"/>
    </xf>
    <xf numFmtId="43" fontId="30" fillId="64" borderId="106" xfId="0" applyNumberFormat="1" applyFont="1" applyFill="1" applyBorder="1" applyAlignment="1">
      <alignment horizontal="right"/>
    </xf>
    <xf numFmtId="43" fontId="30" fillId="64" borderId="107" xfId="0" applyNumberFormat="1" applyFont="1" applyFill="1" applyBorder="1" applyAlignment="1">
      <alignment horizontal="right"/>
    </xf>
    <xf numFmtId="49" fontId="30" fillId="51" borderId="13" xfId="0" applyNumberFormat="1" applyFont="1" applyFill="1" applyBorder="1" applyAlignment="1"/>
    <xf numFmtId="0" fontId="0" fillId="64" borderId="0" xfId="0" applyFill="1"/>
    <xf numFmtId="49" fontId="30" fillId="64" borderId="13" xfId="0" applyNumberFormat="1" applyFont="1" applyFill="1" applyBorder="1" applyAlignment="1"/>
    <xf numFmtId="43" fontId="30" fillId="64" borderId="15" xfId="1" applyNumberFormat="1" applyFont="1" applyFill="1" applyBorder="1" applyAlignment="1"/>
    <xf numFmtId="43" fontId="30" fillId="64" borderId="106" xfId="1" applyNumberFormat="1" applyFont="1" applyFill="1" applyBorder="1" applyAlignment="1"/>
    <xf numFmtId="43" fontId="30" fillId="64" borderId="13" xfId="1" applyNumberFormat="1" applyFont="1" applyFill="1" applyBorder="1" applyAlignment="1"/>
    <xf numFmtId="43" fontId="30" fillId="64" borderId="107" xfId="0" applyNumberFormat="1" applyFont="1" applyFill="1" applyBorder="1" applyAlignment="1"/>
    <xf numFmtId="43" fontId="30" fillId="64" borderId="14" xfId="1" applyNumberFormat="1" applyFont="1" applyFill="1" applyBorder="1" applyAlignment="1"/>
    <xf numFmtId="43" fontId="30" fillId="64" borderId="1" xfId="1" applyNumberFormat="1" applyFont="1" applyFill="1" applyBorder="1" applyAlignment="1"/>
    <xf numFmtId="43" fontId="30" fillId="64" borderId="15" xfId="0" applyNumberFormat="1" applyFont="1" applyFill="1" applyBorder="1" applyAlignment="1"/>
    <xf numFmtId="49" fontId="38" fillId="64" borderId="28" xfId="0" applyNumberFormat="1" applyFont="1" applyFill="1" applyBorder="1" applyProtection="1">
      <protection hidden="1"/>
    </xf>
    <xf numFmtId="43" fontId="30" fillId="64" borderId="4" xfId="0" applyNumberFormat="1" applyFont="1" applyFill="1" applyBorder="1" applyProtection="1">
      <protection hidden="1"/>
    </xf>
    <xf numFmtId="43" fontId="30" fillId="64" borderId="106" xfId="0" applyNumberFormat="1" applyFont="1" applyFill="1" applyBorder="1" applyAlignment="1" applyProtection="1">
      <protection hidden="1"/>
    </xf>
    <xf numFmtId="43" fontId="30" fillId="64" borderId="107" xfId="0" applyNumberFormat="1" applyFont="1" applyFill="1" applyBorder="1" applyAlignment="1" applyProtection="1">
      <protection hidden="1"/>
    </xf>
    <xf numFmtId="43" fontId="30" fillId="64" borderId="107" xfId="0" applyNumberFormat="1" applyFont="1" applyFill="1" applyBorder="1" applyAlignment="1" applyProtection="1">
      <alignment horizontal="right"/>
      <protection hidden="1"/>
    </xf>
    <xf numFmtId="43" fontId="30" fillId="64" borderId="13" xfId="0" applyNumberFormat="1" applyFont="1" applyFill="1" applyBorder="1" applyAlignment="1" applyProtection="1">
      <protection hidden="1"/>
    </xf>
    <xf numFmtId="43" fontId="30" fillId="64" borderId="15" xfId="0" applyNumberFormat="1" applyFont="1" applyFill="1" applyBorder="1" applyAlignment="1" applyProtection="1">
      <protection hidden="1"/>
    </xf>
    <xf numFmtId="43" fontId="30" fillId="64" borderId="53" xfId="0" applyNumberFormat="1" applyFont="1" applyFill="1" applyBorder="1" applyAlignment="1" applyProtection="1">
      <protection hidden="1"/>
    </xf>
    <xf numFmtId="0" fontId="0" fillId="64" borderId="0" xfId="0" applyFill="1" applyProtection="1">
      <protection hidden="1"/>
    </xf>
    <xf numFmtId="49" fontId="30" fillId="64" borderId="138" xfId="0" applyNumberFormat="1" applyFont="1" applyFill="1" applyBorder="1" applyAlignment="1" applyProtection="1">
      <protection hidden="1"/>
    </xf>
    <xf numFmtId="43" fontId="30" fillId="64" borderId="138" xfId="1" applyFont="1" applyFill="1" applyBorder="1" applyAlignment="1" applyProtection="1">
      <protection hidden="1"/>
    </xf>
    <xf numFmtId="43" fontId="30" fillId="64" borderId="106" xfId="1" applyFont="1" applyFill="1" applyBorder="1" applyAlignment="1" applyProtection="1">
      <protection hidden="1"/>
    </xf>
    <xf numFmtId="43" fontId="30" fillId="64" borderId="1" xfId="1" applyFont="1" applyFill="1" applyBorder="1" applyAlignment="1" applyProtection="1">
      <protection hidden="1"/>
    </xf>
    <xf numFmtId="43" fontId="30" fillId="52" borderId="15" xfId="0" applyNumberFormat="1" applyFont="1" applyFill="1" applyBorder="1" applyAlignment="1" applyProtection="1">
      <alignment horizontal="right"/>
      <protection hidden="1"/>
    </xf>
    <xf numFmtId="43" fontId="30" fillId="52" borderId="106" xfId="0" applyNumberFormat="1" applyFont="1" applyFill="1" applyBorder="1" applyAlignment="1" applyProtection="1">
      <alignment horizontal="right"/>
      <protection hidden="1"/>
    </xf>
    <xf numFmtId="43" fontId="30" fillId="64" borderId="15" xfId="0" applyNumberFormat="1" applyFont="1" applyFill="1" applyBorder="1" applyAlignment="1" applyProtection="1">
      <alignment horizontal="right"/>
      <protection hidden="1"/>
    </xf>
    <xf numFmtId="43" fontId="30" fillId="64" borderId="106" xfId="0" applyNumberFormat="1" applyFont="1" applyFill="1" applyBorder="1" applyAlignment="1" applyProtection="1">
      <alignment horizontal="right"/>
      <protection hidden="1"/>
    </xf>
    <xf numFmtId="49" fontId="38" fillId="65" borderId="28" xfId="0" applyNumberFormat="1" applyFont="1" applyFill="1" applyBorder="1" applyProtection="1">
      <protection hidden="1"/>
    </xf>
    <xf numFmtId="43" fontId="30" fillId="65" borderId="4" xfId="0" applyNumberFormat="1" applyFont="1" applyFill="1" applyBorder="1" applyProtection="1">
      <protection hidden="1"/>
    </xf>
    <xf numFmtId="43" fontId="30" fillId="65" borderId="106" xfId="0" applyNumberFormat="1" applyFont="1" applyFill="1" applyBorder="1" applyAlignment="1" applyProtection="1">
      <protection hidden="1"/>
    </xf>
    <xf numFmtId="43" fontId="30" fillId="65" borderId="107" xfId="0" applyNumberFormat="1" applyFont="1" applyFill="1" applyBorder="1" applyAlignment="1" applyProtection="1">
      <protection hidden="1"/>
    </xf>
    <xf numFmtId="43" fontId="30" fillId="65" borderId="15" xfId="0" applyNumberFormat="1" applyFont="1" applyFill="1" applyBorder="1" applyAlignment="1" applyProtection="1">
      <alignment horizontal="right"/>
      <protection hidden="1"/>
    </xf>
    <xf numFmtId="43" fontId="30" fillId="65" borderId="107" xfId="0" applyNumberFormat="1" applyFont="1" applyFill="1" applyBorder="1" applyAlignment="1" applyProtection="1">
      <alignment horizontal="right"/>
      <protection hidden="1"/>
    </xf>
    <xf numFmtId="43" fontId="30" fillId="65" borderId="13" xfId="0" applyNumberFormat="1" applyFont="1" applyFill="1" applyBorder="1" applyAlignment="1" applyProtection="1">
      <protection hidden="1"/>
    </xf>
    <xf numFmtId="43" fontId="30" fillId="65" borderId="15" xfId="0" applyNumberFormat="1" applyFont="1" applyFill="1" applyBorder="1" applyAlignment="1" applyProtection="1">
      <protection hidden="1"/>
    </xf>
    <xf numFmtId="43" fontId="30" fillId="65" borderId="53" xfId="0" applyNumberFormat="1" applyFont="1" applyFill="1" applyBorder="1" applyAlignment="1" applyProtection="1">
      <protection hidden="1"/>
    </xf>
    <xf numFmtId="0" fontId="0" fillId="65" borderId="0" xfId="0" applyFill="1" applyProtection="1">
      <protection hidden="1"/>
    </xf>
    <xf numFmtId="49" fontId="30" fillId="65" borderId="138" xfId="0" applyNumberFormat="1" applyFont="1" applyFill="1" applyBorder="1" applyAlignment="1" applyProtection="1">
      <protection hidden="1"/>
    </xf>
    <xf numFmtId="43" fontId="30" fillId="65" borderId="138" xfId="1" applyFont="1" applyFill="1" applyBorder="1" applyAlignment="1" applyProtection="1">
      <protection hidden="1"/>
    </xf>
    <xf numFmtId="43" fontId="30" fillId="65" borderId="106" xfId="1" applyFont="1" applyFill="1" applyBorder="1" applyAlignment="1" applyProtection="1">
      <protection hidden="1"/>
    </xf>
    <xf numFmtId="43" fontId="30" fillId="65" borderId="1" xfId="1" applyFont="1" applyFill="1" applyBorder="1" applyAlignment="1" applyProtection="1">
      <protection hidden="1"/>
    </xf>
    <xf numFmtId="0" fontId="0" fillId="65" borderId="0" xfId="0" applyFill="1"/>
    <xf numFmtId="4" fontId="1" fillId="65" borderId="2" xfId="2" applyNumberFormat="1" applyFont="1" applyFill="1" applyBorder="1" applyAlignment="1">
      <alignment vertical="center"/>
    </xf>
    <xf numFmtId="4" fontId="1" fillId="65" borderId="14" xfId="2" applyNumberFormat="1" applyFont="1" applyFill="1" applyBorder="1" applyAlignment="1">
      <alignment vertical="center"/>
    </xf>
    <xf numFmtId="4" fontId="1" fillId="65" borderId="1" xfId="2" applyNumberFormat="1" applyFont="1" applyFill="1" applyBorder="1" applyAlignment="1">
      <alignment vertical="center"/>
    </xf>
    <xf numFmtId="4" fontId="1" fillId="65" borderId="3" xfId="2" applyNumberFormat="1" applyFont="1" applyFill="1" applyBorder="1" applyAlignment="1">
      <alignment vertical="center"/>
    </xf>
    <xf numFmtId="43" fontId="12" fillId="0" borderId="0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41" fillId="0" borderId="0" xfId="2" applyFont="1" applyAlignment="1">
      <alignment vertical="center"/>
    </xf>
    <xf numFmtId="49" fontId="30" fillId="49" borderId="112" xfId="0" applyNumberFormat="1" applyFont="1" applyFill="1" applyBorder="1" applyAlignment="1"/>
    <xf numFmtId="43" fontId="30" fillId="49" borderId="3" xfId="1" applyNumberFormat="1" applyFont="1" applyFill="1" applyBorder="1" applyAlignment="1"/>
    <xf numFmtId="49" fontId="18" fillId="22" borderId="1" xfId="0" applyNumberFormat="1" applyFont="1" applyFill="1" applyBorder="1" applyAlignment="1" applyProtection="1">
      <alignment horizontal="left" vertical="center"/>
      <protection hidden="1"/>
    </xf>
    <xf numFmtId="43" fontId="18" fillId="22" borderId="0" xfId="0" applyNumberFormat="1" applyFont="1" applyFill="1" applyBorder="1" applyAlignment="1" applyProtection="1">
      <alignment horizontal="right" vertical="center"/>
      <protection hidden="1"/>
    </xf>
    <xf numFmtId="43" fontId="18" fillId="35" borderId="64" xfId="0" applyNumberFormat="1" applyFont="1" applyFill="1" applyBorder="1" applyAlignment="1" applyProtection="1">
      <alignment horizontal="right" vertical="center"/>
      <protection hidden="1"/>
    </xf>
    <xf numFmtId="43" fontId="18" fillId="33" borderId="64" xfId="0" applyNumberFormat="1" applyFont="1" applyFill="1" applyBorder="1" applyAlignment="1" applyProtection="1">
      <alignment horizontal="right" vertical="center"/>
      <protection hidden="1"/>
    </xf>
    <xf numFmtId="49" fontId="53" fillId="22" borderId="1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7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43" fontId="30" fillId="0" borderId="114" xfId="0" applyNumberFormat="1" applyFont="1" applyFill="1" applyBorder="1" applyAlignment="1"/>
    <xf numFmtId="43" fontId="28" fillId="0" borderId="176" xfId="1" applyNumberFormat="1" applyFont="1" applyFill="1" applyBorder="1" applyAlignment="1"/>
    <xf numFmtId="43" fontId="30" fillId="0" borderId="123" xfId="1" applyNumberFormat="1" applyFont="1" applyFill="1" applyBorder="1" applyAlignment="1"/>
    <xf numFmtId="43" fontId="30" fillId="0" borderId="5" xfId="1" applyNumberFormat="1" applyFont="1" applyFill="1" applyBorder="1" applyAlignment="1"/>
    <xf numFmtId="43" fontId="30" fillId="0" borderId="124" xfId="0" applyNumberFormat="1" applyFont="1" applyFill="1" applyBorder="1" applyAlignment="1"/>
    <xf numFmtId="43" fontId="30" fillId="0" borderId="121" xfId="1" applyNumberFormat="1" applyFont="1" applyFill="1" applyBorder="1" applyAlignment="1"/>
    <xf numFmtId="43" fontId="30" fillId="0" borderId="0" xfId="1" applyNumberFormat="1" applyFont="1" applyFill="1" applyBorder="1" applyAlignment="1"/>
    <xf numFmtId="43" fontId="30" fillId="0" borderId="122" xfId="0" applyNumberFormat="1" applyFont="1" applyFill="1" applyBorder="1" applyAlignment="1"/>
    <xf numFmtId="43" fontId="30" fillId="0" borderId="128" xfId="1" applyNumberFormat="1" applyFont="1" applyFill="1" applyBorder="1" applyAlignment="1"/>
    <xf numFmtId="43" fontId="30" fillId="0" borderId="10" xfId="1" applyNumberFormat="1" applyFont="1" applyFill="1" applyBorder="1" applyAlignment="1"/>
    <xf numFmtId="43" fontId="30" fillId="0" borderId="129" xfId="0" applyNumberFormat="1" applyFont="1" applyFill="1" applyBorder="1" applyAlignment="1"/>
    <xf numFmtId="43" fontId="28" fillId="0" borderId="102" xfId="1" applyNumberFormat="1" applyFont="1" applyFill="1" applyBorder="1" applyAlignment="1"/>
    <xf numFmtId="43" fontId="28" fillId="0" borderId="103" xfId="0" applyNumberFormat="1" applyFont="1" applyFill="1" applyBorder="1" applyAlignment="1"/>
    <xf numFmtId="43" fontId="18" fillId="22" borderId="4" xfId="0" applyNumberFormat="1" applyFont="1" applyFill="1" applyBorder="1" applyAlignment="1" applyProtection="1">
      <alignment horizontal="right" vertical="center"/>
      <protection hidden="1"/>
    </xf>
    <xf numFmtId="43" fontId="18" fillId="22" borderId="5" xfId="0" applyNumberFormat="1" applyFont="1" applyFill="1" applyBorder="1" applyAlignment="1" applyProtection="1">
      <alignment horizontal="center" vertical="center"/>
      <protection hidden="1"/>
    </xf>
    <xf numFmtId="43" fontId="18" fillId="22" borderId="5" xfId="0" applyNumberFormat="1" applyFont="1" applyFill="1" applyBorder="1" applyAlignment="1" applyProtection="1">
      <alignment horizontal="right" vertical="center"/>
      <protection hidden="1"/>
    </xf>
    <xf numFmtId="43" fontId="18" fillId="22" borderId="6" xfId="0" applyNumberFormat="1" applyFont="1" applyFill="1" applyBorder="1" applyAlignment="1" applyProtection="1">
      <alignment horizontal="right" vertical="center"/>
      <protection hidden="1"/>
    </xf>
    <xf numFmtId="43" fontId="18" fillId="22" borderId="9" xfId="0" applyNumberFormat="1" applyFont="1" applyFill="1" applyBorder="1" applyAlignment="1" applyProtection="1">
      <alignment horizontal="right" vertical="center"/>
      <protection hidden="1"/>
    </xf>
    <xf numFmtId="43" fontId="18" fillId="22" borderId="10" xfId="0" applyNumberFormat="1" applyFont="1" applyFill="1" applyBorder="1" applyAlignment="1" applyProtection="1">
      <alignment horizontal="center" vertical="center"/>
      <protection hidden="1"/>
    </xf>
    <xf numFmtId="43" fontId="18" fillId="22" borderId="10" xfId="0" applyNumberFormat="1" applyFont="1" applyFill="1" applyBorder="1" applyAlignment="1" applyProtection="1">
      <alignment horizontal="right" vertical="center"/>
      <protection hidden="1"/>
    </xf>
    <xf numFmtId="43" fontId="18" fillId="22" borderId="11" xfId="0" applyNumberFormat="1" applyFont="1" applyFill="1" applyBorder="1" applyAlignment="1" applyProtection="1">
      <alignment horizontal="right" vertical="center"/>
      <protection hidden="1"/>
    </xf>
    <xf numFmtId="0" fontId="11" fillId="22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wrapText="1"/>
    </xf>
    <xf numFmtId="0" fontId="54" fillId="0" borderId="10" xfId="0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/>
    </xf>
    <xf numFmtId="169" fontId="2" fillId="0" borderId="0" xfId="0" applyNumberFormat="1" applyFont="1" applyAlignment="1">
      <alignment horizontal="left" wrapText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8" fillId="30" borderId="59" xfId="0" applyFont="1" applyFill="1" applyBorder="1" applyAlignment="1" applyProtection="1">
      <alignment horizontal="center" vertical="center" wrapText="1"/>
      <protection hidden="1"/>
    </xf>
    <xf numFmtId="0" fontId="18" fillId="30" borderId="61" xfId="0" applyFont="1" applyFill="1" applyBorder="1" applyAlignment="1" applyProtection="1">
      <alignment horizontal="center" vertical="center" wrapText="1"/>
      <protection hidden="1"/>
    </xf>
    <xf numFmtId="0" fontId="18" fillId="30" borderId="60" xfId="0" applyFont="1" applyFill="1" applyBorder="1" applyAlignment="1" applyProtection="1">
      <alignment horizontal="center" vertical="center" wrapText="1"/>
      <protection hidden="1"/>
    </xf>
    <xf numFmtId="0" fontId="18" fillId="30" borderId="1" xfId="0" applyFont="1" applyFill="1" applyBorder="1" applyAlignment="1" applyProtection="1">
      <alignment horizontal="center" vertical="center" wrapText="1"/>
      <protection hidden="1"/>
    </xf>
    <xf numFmtId="0" fontId="18" fillId="30" borderId="7" xfId="0" applyFont="1" applyFill="1" applyBorder="1" applyAlignment="1" applyProtection="1">
      <alignment horizontal="center" vertical="center" wrapText="1"/>
      <protection hidden="1"/>
    </xf>
    <xf numFmtId="0" fontId="18" fillId="30" borderId="0" xfId="0" applyFont="1" applyFill="1" applyBorder="1" applyAlignment="1" applyProtection="1">
      <alignment horizontal="center" vertical="center" wrapText="1"/>
      <protection hidden="1"/>
    </xf>
    <xf numFmtId="166" fontId="18" fillId="30" borderId="177" xfId="0" applyNumberFormat="1" applyFont="1" applyFill="1" applyBorder="1" applyAlignment="1" applyProtection="1">
      <alignment horizontal="center" vertical="center" wrapText="1"/>
      <protection hidden="1"/>
    </xf>
    <xf numFmtId="166" fontId="18" fillId="30" borderId="2" xfId="0" applyNumberFormat="1" applyFont="1" applyFill="1" applyBorder="1" applyAlignment="1" applyProtection="1">
      <alignment horizontal="center" vertical="center" wrapText="1"/>
      <protection hidden="1"/>
    </xf>
    <xf numFmtId="166" fontId="18" fillId="30" borderId="9" xfId="0" applyNumberFormat="1" applyFont="1" applyFill="1" applyBorder="1" applyAlignment="1" applyProtection="1">
      <alignment horizontal="center" vertical="center" wrapText="1"/>
      <protection hidden="1"/>
    </xf>
    <xf numFmtId="166" fontId="18" fillId="3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1" fillId="26" borderId="36" xfId="0" applyFont="1" applyFill="1" applyBorder="1" applyAlignment="1" applyProtection="1">
      <alignment horizontal="center" vertical="center" wrapText="1"/>
      <protection hidden="1"/>
    </xf>
    <xf numFmtId="0" fontId="11" fillId="26" borderId="38" xfId="0" applyFont="1" applyFill="1" applyBorder="1" applyAlignment="1" applyProtection="1">
      <alignment horizontal="center" vertical="center" wrapText="1"/>
      <protection hidden="1"/>
    </xf>
    <xf numFmtId="0" fontId="11" fillId="26" borderId="39" xfId="0" applyFont="1" applyFill="1" applyBorder="1" applyAlignment="1" applyProtection="1">
      <alignment horizontal="center" vertical="center" wrapText="1"/>
      <protection hidden="1"/>
    </xf>
    <xf numFmtId="0" fontId="11" fillId="26" borderId="42" xfId="0" applyFont="1" applyFill="1" applyBorder="1" applyAlignment="1" applyProtection="1">
      <alignment horizontal="center" vertical="center" wrapText="1"/>
      <protection hidden="1"/>
    </xf>
    <xf numFmtId="0" fontId="11" fillId="26" borderId="17" xfId="0" applyFont="1" applyFill="1" applyBorder="1" applyAlignment="1" applyProtection="1">
      <alignment horizontal="center" vertical="center" wrapText="1"/>
      <protection hidden="1"/>
    </xf>
    <xf numFmtId="0" fontId="11" fillId="26" borderId="18" xfId="0" applyFont="1" applyFill="1" applyBorder="1" applyAlignment="1" applyProtection="1">
      <alignment horizontal="center" vertical="center" wrapText="1"/>
      <protection hidden="1"/>
    </xf>
    <xf numFmtId="0" fontId="11" fillId="26" borderId="24" xfId="0" applyFont="1" applyFill="1" applyBorder="1" applyAlignment="1" applyProtection="1">
      <alignment horizontal="center" vertical="center" wrapText="1"/>
      <protection hidden="1"/>
    </xf>
    <xf numFmtId="0" fontId="11" fillId="26" borderId="1" xfId="0" applyFont="1" applyFill="1" applyBorder="1" applyAlignment="1" applyProtection="1">
      <alignment horizontal="center" vertical="center" wrapText="1"/>
      <protection hidden="1"/>
    </xf>
    <xf numFmtId="0" fontId="11" fillId="26" borderId="19" xfId="0" applyFont="1" applyFill="1" applyBorder="1" applyAlignment="1" applyProtection="1">
      <alignment horizontal="center" vertical="center" wrapText="1"/>
      <protection hidden="1"/>
    </xf>
    <xf numFmtId="0" fontId="11" fillId="26" borderId="20" xfId="0" applyFont="1" applyFill="1" applyBorder="1" applyAlignment="1" applyProtection="1">
      <alignment horizontal="center" vertical="center" wrapText="1"/>
      <protection hidden="1"/>
    </xf>
    <xf numFmtId="0" fontId="11" fillId="26" borderId="7" xfId="0" applyFont="1" applyFill="1" applyBorder="1" applyAlignment="1" applyProtection="1">
      <alignment horizontal="center" vertical="center" wrapText="1"/>
      <protection hidden="1"/>
    </xf>
    <xf numFmtId="0" fontId="11" fillId="26" borderId="8" xfId="0" applyFont="1" applyFill="1" applyBorder="1" applyAlignment="1" applyProtection="1">
      <alignment horizontal="center" vertical="center" wrapText="1"/>
      <protection hidden="1"/>
    </xf>
    <xf numFmtId="0" fontId="11" fillId="26" borderId="9" xfId="0" applyFont="1" applyFill="1" applyBorder="1" applyAlignment="1" applyProtection="1">
      <alignment horizontal="center" vertical="center" wrapText="1"/>
      <protection hidden="1"/>
    </xf>
    <xf numFmtId="0" fontId="11" fillId="26" borderId="11" xfId="0" applyFont="1" applyFill="1" applyBorder="1" applyAlignment="1" applyProtection="1">
      <alignment horizontal="center" vertical="center" wrapText="1"/>
      <protection hidden="1"/>
    </xf>
    <xf numFmtId="0" fontId="11" fillId="26" borderId="21" xfId="0" applyFont="1" applyFill="1" applyBorder="1" applyAlignment="1" applyProtection="1">
      <alignment horizontal="center" vertical="center" wrapText="1"/>
      <protection hidden="1"/>
    </xf>
    <xf numFmtId="0" fontId="11" fillId="26" borderId="12" xfId="0" applyFont="1" applyFill="1" applyBorder="1" applyAlignment="1" applyProtection="1">
      <alignment horizontal="center" vertical="center"/>
      <protection hidden="1"/>
    </xf>
    <xf numFmtId="0" fontId="11" fillId="26" borderId="22" xfId="0" applyFont="1" applyFill="1" applyBorder="1" applyAlignment="1" applyProtection="1">
      <alignment horizontal="center" vertical="center" wrapText="1"/>
      <protection hidden="1"/>
    </xf>
    <xf numFmtId="0" fontId="12" fillId="26" borderId="22" xfId="0" applyFont="1" applyFill="1" applyBorder="1" applyProtection="1">
      <protection hidden="1"/>
    </xf>
    <xf numFmtId="0" fontId="12" fillId="26" borderId="23" xfId="0" applyFont="1" applyFill="1" applyBorder="1" applyProtection="1">
      <protection hidden="1"/>
    </xf>
    <xf numFmtId="0" fontId="12" fillId="26" borderId="7" xfId="0" applyFont="1" applyFill="1" applyBorder="1" applyProtection="1">
      <protection hidden="1"/>
    </xf>
    <xf numFmtId="0" fontId="12" fillId="26" borderId="0" xfId="0" applyFont="1" applyFill="1" applyBorder="1" applyProtection="1">
      <protection hidden="1"/>
    </xf>
    <xf numFmtId="0" fontId="12" fillId="26" borderId="25" xfId="0" applyFont="1" applyFill="1" applyBorder="1" applyProtection="1">
      <protection hidden="1"/>
    </xf>
    <xf numFmtId="0" fontId="12" fillId="26" borderId="9" xfId="0" applyFont="1" applyFill="1" applyBorder="1" applyProtection="1">
      <protection hidden="1"/>
    </xf>
    <xf numFmtId="0" fontId="12" fillId="26" borderId="10" xfId="0" applyFont="1" applyFill="1" applyBorder="1" applyProtection="1">
      <protection hidden="1"/>
    </xf>
    <xf numFmtId="0" fontId="12" fillId="26" borderId="26" xfId="0" applyFont="1" applyFill="1" applyBorder="1" applyProtection="1">
      <protection hidden="1"/>
    </xf>
    <xf numFmtId="0" fontId="12" fillId="26" borderId="3" xfId="0" applyFont="1" applyFill="1" applyBorder="1" applyAlignment="1" applyProtection="1">
      <alignment horizontal="center" vertical="center" wrapText="1"/>
      <protection hidden="1"/>
    </xf>
    <xf numFmtId="0" fontId="12" fillId="26" borderId="12" xfId="0" applyFont="1" applyFill="1" applyBorder="1" applyAlignment="1" applyProtection="1">
      <alignment horizontal="center" vertical="center" wrapText="1"/>
      <protection hidden="1"/>
    </xf>
    <xf numFmtId="0" fontId="12" fillId="26" borderId="33" xfId="0" applyFont="1" applyFill="1" applyBorder="1" applyProtection="1">
      <protection hidden="1"/>
    </xf>
    <xf numFmtId="0" fontId="12" fillId="26" borderId="4" xfId="0" applyFont="1" applyFill="1" applyBorder="1" applyAlignment="1" applyProtection="1">
      <alignment horizontal="center" vertical="center" wrapText="1"/>
      <protection hidden="1"/>
    </xf>
    <xf numFmtId="0" fontId="12" fillId="26" borderId="7" xfId="0" applyFont="1" applyFill="1" applyBorder="1" applyAlignment="1" applyProtection="1">
      <alignment horizontal="center" vertical="center" wrapText="1"/>
      <protection hidden="1"/>
    </xf>
    <xf numFmtId="0" fontId="12" fillId="26" borderId="30" xfId="0" applyFont="1" applyFill="1" applyBorder="1" applyProtection="1">
      <protection hidden="1"/>
    </xf>
    <xf numFmtId="0" fontId="12" fillId="26" borderId="27" xfId="0" applyFont="1" applyFill="1" applyBorder="1" applyAlignment="1" applyProtection="1">
      <alignment horizontal="center" vertical="center" wrapText="1"/>
      <protection hidden="1"/>
    </xf>
    <xf numFmtId="0" fontId="12" fillId="26" borderId="25" xfId="0" applyFont="1" applyFill="1" applyBorder="1" applyAlignment="1" applyProtection="1">
      <alignment horizontal="center" vertical="center" wrapText="1"/>
      <protection hidden="1"/>
    </xf>
    <xf numFmtId="0" fontId="12" fillId="26" borderId="30" xfId="0" applyFont="1" applyFill="1" applyBorder="1" applyAlignment="1" applyProtection="1">
      <alignment horizontal="center" vertical="center" wrapText="1"/>
      <protection hidden="1"/>
    </xf>
    <xf numFmtId="0" fontId="12" fillId="26" borderId="35" xfId="0" applyFont="1" applyFill="1" applyBorder="1" applyAlignment="1" applyProtection="1">
      <alignment horizontal="center" vertical="center" wrapText="1"/>
      <protection hidden="1"/>
    </xf>
    <xf numFmtId="0" fontId="11" fillId="26" borderId="6" xfId="0" applyFont="1" applyFill="1" applyBorder="1" applyAlignment="1" applyProtection="1">
      <alignment horizontal="center" vertical="center" wrapText="1"/>
      <protection hidden="1"/>
    </xf>
    <xf numFmtId="0" fontId="11" fillId="26" borderId="41" xfId="0" applyFont="1" applyFill="1" applyBorder="1" applyAlignment="1" applyProtection="1">
      <alignment horizontal="center" vertical="center" wrapText="1"/>
      <protection hidden="1"/>
    </xf>
    <xf numFmtId="0" fontId="11" fillId="26" borderId="4" xfId="0" applyFont="1" applyFill="1" applyBorder="1" applyAlignment="1" applyProtection="1">
      <alignment horizontal="center" vertical="center" wrapText="1"/>
      <protection hidden="1"/>
    </xf>
    <xf numFmtId="0" fontId="11" fillId="26" borderId="5" xfId="0" applyFont="1" applyFill="1" applyBorder="1" applyAlignment="1" applyProtection="1">
      <alignment horizontal="center" vertical="center" wrapText="1"/>
      <protection hidden="1"/>
    </xf>
    <xf numFmtId="0" fontId="11" fillId="26" borderId="10" xfId="0" applyFont="1" applyFill="1" applyBorder="1" applyAlignment="1" applyProtection="1">
      <alignment horizontal="center" vertical="center" wrapText="1"/>
      <protection hidden="1"/>
    </xf>
    <xf numFmtId="0" fontId="12" fillId="26" borderId="12" xfId="0" applyFont="1" applyFill="1" applyBorder="1" applyProtection="1">
      <protection hidden="1"/>
    </xf>
    <xf numFmtId="0" fontId="12" fillId="26" borderId="33" xfId="0" applyFont="1" applyFill="1" applyBorder="1" applyAlignment="1" applyProtection="1">
      <alignment horizontal="center" vertical="center" wrapText="1"/>
      <protection hidden="1"/>
    </xf>
    <xf numFmtId="0" fontId="11" fillId="26" borderId="40" xfId="0" applyFont="1" applyFill="1" applyBorder="1" applyAlignment="1" applyProtection="1">
      <alignment horizontal="center" vertical="center" wrapText="1"/>
      <protection hidden="1"/>
    </xf>
    <xf numFmtId="0" fontId="11" fillId="26" borderId="0" xfId="0" applyFont="1" applyFill="1" applyBorder="1" applyAlignment="1" applyProtection="1">
      <alignment horizontal="center" vertical="center" wrapText="1"/>
      <protection hidden="1"/>
    </xf>
    <xf numFmtId="0" fontId="11" fillId="26" borderId="12" xfId="0" applyFont="1" applyFill="1" applyBorder="1" applyAlignment="1" applyProtection="1">
      <alignment horizontal="center" vertical="center" wrapText="1"/>
      <protection hidden="1"/>
    </xf>
    <xf numFmtId="0" fontId="11" fillId="26" borderId="33" xfId="0" applyFont="1" applyFill="1" applyBorder="1" applyAlignment="1" applyProtection="1">
      <alignment horizontal="center" vertical="center" wrapText="1"/>
      <protection hidden="1"/>
    </xf>
    <xf numFmtId="0" fontId="11" fillId="26" borderId="34" xfId="0" applyFont="1" applyFill="1" applyBorder="1" applyAlignment="1" applyProtection="1">
      <alignment horizontal="center" vertical="center" wrapText="1"/>
      <protection hidden="1"/>
    </xf>
    <xf numFmtId="0" fontId="11" fillId="26" borderId="43" xfId="0" applyFont="1" applyFill="1" applyBorder="1" applyAlignment="1" applyProtection="1">
      <alignment horizontal="center" vertical="center" wrapText="1"/>
      <protection hidden="1"/>
    </xf>
    <xf numFmtId="0" fontId="11" fillId="26" borderId="31" xfId="0" applyFont="1" applyFill="1" applyBorder="1" applyAlignment="1" applyProtection="1">
      <alignment horizontal="center" vertical="center" wrapText="1"/>
      <protection hidden="1"/>
    </xf>
    <xf numFmtId="0" fontId="11" fillId="26" borderId="32" xfId="0" applyFont="1" applyFill="1" applyBorder="1" applyAlignment="1" applyProtection="1">
      <alignment horizontal="center" vertical="center" wrapText="1"/>
      <protection hidden="1"/>
    </xf>
    <xf numFmtId="0" fontId="11" fillId="22" borderId="36" xfId="0" applyFont="1" applyFill="1" applyBorder="1" applyAlignment="1" applyProtection="1">
      <alignment horizontal="center" vertical="center" wrapText="1"/>
      <protection hidden="1"/>
    </xf>
    <xf numFmtId="0" fontId="11" fillId="22" borderId="38" xfId="0" applyFont="1" applyFill="1" applyBorder="1" applyAlignment="1" applyProtection="1">
      <alignment horizontal="center" vertical="center" wrapText="1"/>
      <protection hidden="1"/>
    </xf>
    <xf numFmtId="0" fontId="11" fillId="22" borderId="39" xfId="0" applyFont="1" applyFill="1" applyBorder="1" applyAlignment="1" applyProtection="1">
      <alignment horizontal="center" vertical="center" wrapText="1"/>
      <protection hidden="1"/>
    </xf>
    <xf numFmtId="0" fontId="11" fillId="22" borderId="42" xfId="0" applyFont="1" applyFill="1" applyBorder="1" applyAlignment="1" applyProtection="1">
      <alignment horizontal="center" vertical="center" wrapText="1"/>
      <protection hidden="1"/>
    </xf>
    <xf numFmtId="0" fontId="12" fillId="22" borderId="17" xfId="0" applyFont="1" applyFill="1" applyBorder="1" applyAlignment="1" applyProtection="1">
      <alignment horizontal="center" vertical="center"/>
      <protection hidden="1"/>
    </xf>
    <xf numFmtId="0" fontId="12" fillId="22" borderId="18" xfId="0" applyFont="1" applyFill="1" applyBorder="1" applyAlignment="1" applyProtection="1">
      <alignment horizontal="center" vertical="center"/>
      <protection hidden="1"/>
    </xf>
    <xf numFmtId="0" fontId="12" fillId="22" borderId="24" xfId="0" applyFont="1" applyFill="1" applyBorder="1" applyAlignment="1" applyProtection="1">
      <alignment horizontal="center" vertical="center"/>
      <protection hidden="1"/>
    </xf>
    <xf numFmtId="0" fontId="12" fillId="22" borderId="1" xfId="0" applyFont="1" applyFill="1" applyBorder="1" applyAlignment="1" applyProtection="1">
      <alignment horizontal="center" vertical="center"/>
      <protection hidden="1"/>
    </xf>
    <xf numFmtId="0" fontId="12" fillId="22" borderId="18" xfId="0" applyFont="1" applyFill="1" applyBorder="1" applyAlignment="1" applyProtection="1">
      <alignment horizontal="left" vertical="center" wrapText="1"/>
      <protection hidden="1"/>
    </xf>
    <xf numFmtId="0" fontId="12" fillId="22" borderId="1" xfId="0" applyFont="1" applyFill="1" applyBorder="1" applyAlignment="1" applyProtection="1">
      <alignment horizontal="left" vertical="center" wrapText="1"/>
      <protection hidden="1"/>
    </xf>
    <xf numFmtId="0" fontId="12" fillId="22" borderId="21" xfId="0" applyFont="1" applyFill="1" applyBorder="1" applyAlignment="1" applyProtection="1">
      <alignment horizontal="center" vertical="center" wrapText="1"/>
      <protection hidden="1"/>
    </xf>
    <xf numFmtId="0" fontId="12" fillId="22" borderId="12" xfId="0" applyFont="1" applyFill="1" applyBorder="1" applyAlignment="1" applyProtection="1">
      <alignment horizontal="center" vertical="center" wrapText="1"/>
      <protection hidden="1"/>
    </xf>
    <xf numFmtId="0" fontId="12" fillId="22" borderId="8" xfId="0" applyFont="1" applyFill="1" applyBorder="1" applyAlignment="1" applyProtection="1">
      <alignment horizontal="center" vertical="center" wrapText="1"/>
      <protection hidden="1"/>
    </xf>
    <xf numFmtId="0" fontId="12" fillId="22" borderId="33" xfId="0" applyFont="1" applyFill="1" applyBorder="1" applyAlignment="1" applyProtection="1">
      <alignment horizontal="center" vertical="center" wrapText="1"/>
      <protection hidden="1"/>
    </xf>
    <xf numFmtId="0" fontId="11" fillId="22" borderId="5" xfId="0" applyFont="1" applyFill="1" applyBorder="1" applyAlignment="1" applyProtection="1">
      <alignment horizontal="center" vertical="center" wrapText="1"/>
      <protection hidden="1"/>
    </xf>
    <xf numFmtId="0" fontId="11" fillId="22" borderId="6" xfId="0" applyFont="1" applyFill="1" applyBorder="1" applyAlignment="1" applyProtection="1">
      <alignment horizontal="center" vertical="center" wrapText="1"/>
      <protection hidden="1"/>
    </xf>
    <xf numFmtId="0" fontId="11" fillId="22" borderId="40" xfId="0" applyFont="1" applyFill="1" applyBorder="1" applyAlignment="1" applyProtection="1">
      <alignment horizontal="center" vertical="center" wrapText="1"/>
      <protection hidden="1"/>
    </xf>
    <xf numFmtId="0" fontId="11" fillId="22" borderId="0" xfId="0" applyFont="1" applyFill="1" applyBorder="1" applyAlignment="1" applyProtection="1">
      <alignment horizontal="center" vertical="center" wrapText="1"/>
      <protection hidden="1"/>
    </xf>
    <xf numFmtId="0" fontId="11" fillId="22" borderId="8" xfId="0" applyFont="1" applyFill="1" applyBorder="1" applyAlignment="1" applyProtection="1">
      <alignment horizontal="center" vertical="center" wrapText="1"/>
      <protection hidden="1"/>
    </xf>
    <xf numFmtId="0" fontId="11" fillId="22" borderId="41" xfId="0" applyFont="1" applyFill="1" applyBorder="1" applyAlignment="1" applyProtection="1">
      <alignment horizontal="center" vertical="center" wrapText="1"/>
      <protection hidden="1"/>
    </xf>
    <xf numFmtId="0" fontId="11" fillId="22" borderId="10" xfId="0" applyFont="1" applyFill="1" applyBorder="1" applyAlignment="1" applyProtection="1">
      <alignment horizontal="center" vertical="center" wrapText="1"/>
      <protection hidden="1"/>
    </xf>
    <xf numFmtId="0" fontId="11" fillId="22" borderId="11" xfId="0" applyFont="1" applyFill="1" applyBorder="1" applyAlignment="1" applyProtection="1">
      <alignment horizontal="center" vertical="center" wrapText="1"/>
      <protection hidden="1"/>
    </xf>
    <xf numFmtId="43" fontId="11" fillId="22" borderId="18" xfId="0" applyNumberFormat="1" applyFont="1" applyFill="1" applyBorder="1" applyAlignment="1" applyProtection="1">
      <alignment horizontal="center" vertical="center" wrapText="1"/>
      <protection hidden="1"/>
    </xf>
    <xf numFmtId="43" fontId="11" fillId="22" borderId="1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19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23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25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9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22" borderId="24" xfId="0" applyFont="1" applyFill="1" applyBorder="1" applyAlignment="1" applyProtection="1">
      <alignment horizontal="center" vertical="center" wrapText="1"/>
      <protection hidden="1"/>
    </xf>
    <xf numFmtId="0" fontId="12" fillId="22" borderId="1" xfId="0" applyFont="1" applyFill="1" applyBorder="1" applyAlignment="1" applyProtection="1">
      <alignment horizontal="center" vertical="center" wrapText="1"/>
      <protection hidden="1"/>
    </xf>
    <xf numFmtId="0" fontId="12" fillId="22" borderId="28" xfId="0" applyFont="1" applyFill="1" applyBorder="1" applyAlignment="1" applyProtection="1">
      <alignment horizontal="center" vertical="center" wrapText="1"/>
      <protection hidden="1"/>
    </xf>
    <xf numFmtId="0" fontId="12" fillId="22" borderId="3" xfId="0" applyFont="1" applyFill="1" applyBorder="1" applyAlignment="1" applyProtection="1">
      <alignment horizontal="center" vertical="center" wrapText="1"/>
      <protection hidden="1"/>
    </xf>
    <xf numFmtId="0" fontId="12" fillId="22" borderId="3" xfId="0" applyFont="1" applyFill="1" applyBorder="1" applyAlignment="1" applyProtection="1">
      <alignment horizontal="left" vertical="center" wrapText="1"/>
      <protection hidden="1"/>
    </xf>
    <xf numFmtId="43" fontId="11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1" fillId="26" borderId="12" xfId="0" applyNumberFormat="1" applyFont="1" applyFill="1" applyBorder="1" applyAlignment="1" applyProtection="1">
      <alignment horizontal="center" vertical="center"/>
      <protection hidden="1"/>
    </xf>
    <xf numFmtId="0" fontId="11" fillId="27" borderId="18" xfId="0" applyFont="1" applyFill="1" applyBorder="1" applyAlignment="1" applyProtection="1">
      <alignment horizontal="center" vertical="center" wrapText="1"/>
      <protection hidden="1"/>
    </xf>
    <xf numFmtId="0" fontId="11" fillId="27" borderId="1" xfId="0" applyFont="1" applyFill="1" applyBorder="1" applyAlignment="1" applyProtection="1">
      <alignment horizontal="center" vertical="center" wrapText="1"/>
      <protection hidden="1"/>
    </xf>
    <xf numFmtId="0" fontId="12" fillId="22" borderId="18" xfId="0" applyFont="1" applyFill="1" applyBorder="1" applyAlignment="1" applyProtection="1">
      <alignment horizontal="center" vertical="center" wrapText="1"/>
      <protection hidden="1"/>
    </xf>
    <xf numFmtId="0" fontId="12" fillId="27" borderId="3" xfId="0" applyFont="1" applyFill="1" applyBorder="1" applyAlignment="1" applyProtection="1">
      <alignment horizontal="center" vertical="center" wrapText="1"/>
      <protection hidden="1"/>
    </xf>
    <xf numFmtId="0" fontId="12" fillId="27" borderId="12" xfId="0" applyFont="1" applyFill="1" applyBorder="1" applyAlignment="1" applyProtection="1">
      <alignment horizontal="center" vertical="center" wrapText="1"/>
      <protection hidden="1"/>
    </xf>
    <xf numFmtId="0" fontId="12" fillId="27" borderId="33" xfId="0" applyFont="1" applyFill="1" applyBorder="1" applyAlignment="1" applyProtection="1">
      <alignment horizontal="center" vertical="center" wrapText="1"/>
      <protection hidden="1"/>
    </xf>
    <xf numFmtId="43" fontId="12" fillId="22" borderId="3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12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33" xfId="0" applyNumberFormat="1" applyFont="1" applyFill="1" applyBorder="1" applyAlignment="1" applyProtection="1">
      <alignment horizontal="center" vertical="center" wrapText="1"/>
      <protection hidden="1"/>
    </xf>
    <xf numFmtId="0" fontId="12" fillId="22" borderId="34" xfId="0" applyFont="1" applyFill="1" applyBorder="1" applyAlignment="1" applyProtection="1">
      <alignment horizontal="center" vertical="center" wrapText="1"/>
      <protection hidden="1"/>
    </xf>
    <xf numFmtId="39" fontId="12" fillId="22" borderId="25" xfId="0" applyNumberFormat="1" applyFont="1" applyFill="1" applyBorder="1" applyAlignment="1" applyProtection="1">
      <alignment horizontal="right" vertical="center" wrapText="1"/>
      <protection hidden="1"/>
    </xf>
    <xf numFmtId="0" fontId="11" fillId="22" borderId="40" xfId="0" applyFont="1" applyFill="1" applyBorder="1" applyAlignment="1" applyProtection="1">
      <alignment horizontal="center" vertical="center" wrapText="1" shrinkToFit="1"/>
      <protection hidden="1"/>
    </xf>
    <xf numFmtId="0" fontId="11" fillId="22" borderId="0" xfId="0" applyFont="1" applyFill="1" applyBorder="1" applyAlignment="1" applyProtection="1">
      <alignment horizontal="center" vertical="center" wrapText="1" shrinkToFit="1"/>
      <protection hidden="1"/>
    </xf>
    <xf numFmtId="0" fontId="11" fillId="22" borderId="8" xfId="0" applyFont="1" applyFill="1" applyBorder="1" applyAlignment="1" applyProtection="1">
      <alignment horizontal="center" vertical="center" wrapText="1" shrinkToFit="1"/>
      <protection hidden="1"/>
    </xf>
    <xf numFmtId="0" fontId="11" fillId="22" borderId="43" xfId="0" applyFont="1" applyFill="1" applyBorder="1" applyAlignment="1" applyProtection="1">
      <alignment horizontal="center" vertical="center" wrapText="1" shrinkToFit="1"/>
      <protection hidden="1"/>
    </xf>
    <xf numFmtId="0" fontId="11" fillId="22" borderId="31" xfId="0" applyFont="1" applyFill="1" applyBorder="1" applyAlignment="1" applyProtection="1">
      <alignment horizontal="center" vertical="center" wrapText="1" shrinkToFit="1"/>
      <protection hidden="1"/>
    </xf>
    <xf numFmtId="0" fontId="11" fillId="22" borderId="32" xfId="0" applyFont="1" applyFill="1" applyBorder="1" applyAlignment="1" applyProtection="1">
      <alignment horizontal="center" vertical="center" wrapText="1" shrinkToFit="1"/>
      <protection hidden="1"/>
    </xf>
    <xf numFmtId="43" fontId="12" fillId="22" borderId="7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25" xfId="0" applyNumberFormat="1" applyFont="1" applyFill="1" applyBorder="1" applyAlignment="1" applyProtection="1">
      <alignment horizontal="right" vertical="center" wrapText="1"/>
      <protection hidden="1"/>
    </xf>
    <xf numFmtId="43" fontId="12" fillId="22" borderId="30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35" xfId="0" applyNumberFormat="1" applyFont="1" applyFill="1" applyBorder="1" applyAlignment="1" applyProtection="1">
      <alignment horizontal="right" vertical="center" wrapText="1"/>
      <protection hidden="1"/>
    </xf>
    <xf numFmtId="43" fontId="12" fillId="22" borderId="4" xfId="0" applyNumberFormat="1" applyFont="1" applyFill="1" applyBorder="1" applyAlignment="1" applyProtection="1">
      <alignment horizontal="left" vertical="center" wrapText="1"/>
      <protection hidden="1"/>
    </xf>
    <xf numFmtId="43" fontId="12" fillId="22" borderId="7" xfId="0" applyNumberFormat="1" applyFont="1" applyFill="1" applyBorder="1" applyAlignment="1" applyProtection="1">
      <alignment horizontal="left" vertical="center" wrapText="1"/>
      <protection hidden="1"/>
    </xf>
    <xf numFmtId="39" fontId="12" fillId="22" borderId="27" xfId="0" applyNumberFormat="1" applyFont="1" applyFill="1" applyBorder="1" applyAlignment="1" applyProtection="1">
      <alignment horizontal="right" vertical="center" wrapText="1"/>
      <protection hidden="1"/>
    </xf>
    <xf numFmtId="43" fontId="11" fillId="28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27" borderId="1" xfId="0" applyFont="1" applyFill="1" applyBorder="1" applyAlignment="1" applyProtection="1">
      <alignment horizontal="center" vertical="center" wrapText="1"/>
      <protection hidden="1"/>
    </xf>
    <xf numFmtId="43" fontId="12" fillId="22" borderId="1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34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47" xfId="0" applyNumberFormat="1" applyFont="1" applyFill="1" applyBorder="1" applyAlignment="1" applyProtection="1">
      <alignment horizontal="center" vertical="center" wrapText="1"/>
      <protection hidden="1"/>
    </xf>
    <xf numFmtId="43" fontId="12" fillId="22" borderId="30" xfId="0" applyNumberFormat="1" applyFont="1" applyFill="1" applyBorder="1" applyAlignment="1" applyProtection="1">
      <alignment horizontal="left" vertical="center" wrapText="1"/>
      <protection hidden="1"/>
    </xf>
    <xf numFmtId="43" fontId="12" fillId="22" borderId="18" xfId="0" applyNumberFormat="1" applyFont="1" applyFill="1" applyBorder="1" applyAlignment="1" applyProtection="1">
      <alignment horizontal="center" vertical="center" wrapText="1"/>
      <protection hidden="1"/>
    </xf>
    <xf numFmtId="43" fontId="11" fillId="29" borderId="21" xfId="0" applyNumberFormat="1" applyFont="1" applyFill="1" applyBorder="1" applyAlignment="1" applyProtection="1">
      <alignment horizontal="center" vertical="center" wrapText="1"/>
      <protection hidden="1"/>
    </xf>
    <xf numFmtId="43" fontId="11" fillId="29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9" borderId="2" xfId="0" applyNumberFormat="1" applyFont="1" applyFill="1" applyBorder="1" applyAlignment="1" applyProtection="1">
      <alignment horizontal="center" vertical="center" wrapText="1"/>
      <protection hidden="1"/>
    </xf>
    <xf numFmtId="39" fontId="12" fillId="22" borderId="5" xfId="0" applyNumberFormat="1" applyFont="1" applyFill="1" applyBorder="1" applyAlignment="1" applyProtection="1">
      <alignment horizontal="left" vertical="center" wrapText="1"/>
      <protection hidden="1"/>
    </xf>
    <xf numFmtId="39" fontId="12" fillId="22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2" borderId="22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10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33" xfId="0" applyNumberFormat="1" applyFont="1" applyFill="1" applyBorder="1" applyAlignment="1" applyProtection="1">
      <alignment horizontal="center" vertical="center" wrapText="1"/>
      <protection hidden="1"/>
    </xf>
    <xf numFmtId="0" fontId="12" fillId="27" borderId="2" xfId="0" applyFont="1" applyFill="1" applyBorder="1" applyAlignment="1" applyProtection="1">
      <alignment horizontal="center" vertical="center" wrapText="1"/>
      <protection hidden="1"/>
    </xf>
    <xf numFmtId="43" fontId="12" fillId="22" borderId="2" xfId="0" applyNumberFormat="1" applyFont="1" applyFill="1" applyBorder="1" applyAlignment="1" applyProtection="1">
      <alignment horizontal="center" vertical="center" wrapText="1"/>
      <protection hidden="1"/>
    </xf>
    <xf numFmtId="39" fontId="12" fillId="22" borderId="31" xfId="0" applyNumberFormat="1" applyFont="1" applyFill="1" applyBorder="1" applyAlignment="1" applyProtection="1">
      <alignment horizontal="left" vertical="center" wrapText="1"/>
      <protection hidden="1"/>
    </xf>
    <xf numFmtId="39" fontId="12" fillId="22" borderId="35" xfId="0" applyNumberFormat="1" applyFont="1" applyFill="1" applyBorder="1" applyAlignment="1" applyProtection="1">
      <alignment horizontal="right" vertical="center" wrapText="1"/>
      <protection hidden="1"/>
    </xf>
    <xf numFmtId="0" fontId="12" fillId="22" borderId="19" xfId="0" applyFont="1" applyFill="1" applyBorder="1" applyAlignment="1" applyProtection="1">
      <alignment horizontal="center" vertical="center" wrapText="1"/>
      <protection hidden="1"/>
    </xf>
    <xf numFmtId="0" fontId="12" fillId="22" borderId="22" xfId="0" applyFont="1" applyFill="1" applyBorder="1" applyAlignment="1" applyProtection="1">
      <alignment horizontal="center" vertical="center" wrapText="1"/>
      <protection hidden="1"/>
    </xf>
    <xf numFmtId="0" fontId="12" fillId="22" borderId="20" xfId="0" applyFont="1" applyFill="1" applyBorder="1" applyAlignment="1" applyProtection="1">
      <alignment horizontal="center" vertical="center" wrapText="1"/>
      <protection hidden="1"/>
    </xf>
    <xf numFmtId="0" fontId="12" fillId="22" borderId="7" xfId="0" applyFont="1" applyFill="1" applyBorder="1" applyAlignment="1" applyProtection="1">
      <alignment horizontal="center" vertical="center" wrapText="1"/>
      <protection hidden="1"/>
    </xf>
    <xf numFmtId="0" fontId="12" fillId="22" borderId="0" xfId="0" applyFont="1" applyFill="1" applyBorder="1" applyAlignment="1" applyProtection="1">
      <alignment horizontal="center" vertical="center" wrapText="1"/>
      <protection hidden="1"/>
    </xf>
    <xf numFmtId="0" fontId="12" fillId="22" borderId="9" xfId="0" applyFont="1" applyFill="1" applyBorder="1" applyAlignment="1" applyProtection="1">
      <alignment horizontal="center" vertical="center" wrapText="1"/>
      <protection hidden="1"/>
    </xf>
    <xf numFmtId="0" fontId="12" fillId="22" borderId="10" xfId="0" applyFont="1" applyFill="1" applyBorder="1" applyAlignment="1" applyProtection="1">
      <alignment horizontal="center" vertical="center" wrapText="1"/>
      <protection hidden="1"/>
    </xf>
    <xf numFmtId="0" fontId="12" fillId="22" borderId="11" xfId="0" applyFont="1" applyFill="1" applyBorder="1" applyAlignment="1" applyProtection="1">
      <alignment horizontal="center" vertical="center" wrapText="1"/>
      <protection hidden="1"/>
    </xf>
    <xf numFmtId="43" fontId="3" fillId="22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22" borderId="7" xfId="0" applyNumberFormat="1" applyFont="1" applyFill="1" applyBorder="1" applyAlignment="1" applyProtection="1">
      <alignment horizontal="left" vertical="center" wrapText="1"/>
      <protection hidden="1"/>
    </xf>
    <xf numFmtId="43" fontId="3" fillId="22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2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2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2" borderId="35" xfId="0" applyNumberFormat="1" applyFont="1" applyFill="1" applyBorder="1" applyAlignment="1" applyProtection="1">
      <alignment horizontal="right" vertical="center" wrapText="1"/>
      <protection hidden="1"/>
    </xf>
    <xf numFmtId="0" fontId="6" fillId="22" borderId="44" xfId="0" applyFont="1" applyFill="1" applyBorder="1" applyAlignment="1" applyProtection="1">
      <alignment horizontal="center" vertical="center" wrapText="1"/>
      <protection hidden="1"/>
    </xf>
    <xf numFmtId="0" fontId="6" fillId="22" borderId="22" xfId="0" applyFont="1" applyFill="1" applyBorder="1" applyAlignment="1" applyProtection="1">
      <alignment horizontal="center" vertical="center" wrapText="1"/>
      <protection hidden="1"/>
    </xf>
    <xf numFmtId="0" fontId="6" fillId="22" borderId="23" xfId="0" applyFont="1" applyFill="1" applyBorder="1" applyAlignment="1" applyProtection="1">
      <alignment horizontal="center" vertical="center" wrapText="1"/>
      <protection hidden="1"/>
    </xf>
    <xf numFmtId="0" fontId="6" fillId="22" borderId="40" xfId="0" applyFont="1" applyFill="1" applyBorder="1" applyAlignment="1" applyProtection="1">
      <alignment horizontal="center" vertical="center" wrapText="1"/>
      <protection hidden="1"/>
    </xf>
    <xf numFmtId="0" fontId="6" fillId="22" borderId="0" xfId="0" applyFont="1" applyFill="1" applyBorder="1" applyAlignment="1" applyProtection="1">
      <alignment horizontal="center" vertical="center" wrapText="1"/>
      <protection hidden="1"/>
    </xf>
    <xf numFmtId="0" fontId="6" fillId="22" borderId="25" xfId="0" applyFont="1" applyFill="1" applyBorder="1" applyAlignment="1" applyProtection="1">
      <alignment horizontal="center" vertical="center" wrapText="1"/>
      <protection hidden="1"/>
    </xf>
    <xf numFmtId="0" fontId="6" fillId="22" borderId="43" xfId="0" applyFont="1" applyFill="1" applyBorder="1" applyAlignment="1" applyProtection="1">
      <alignment horizontal="center" vertical="center" wrapText="1"/>
      <protection hidden="1"/>
    </xf>
    <xf numFmtId="0" fontId="6" fillId="22" borderId="31" xfId="0" applyFont="1" applyFill="1" applyBorder="1" applyAlignment="1" applyProtection="1">
      <alignment horizontal="center" vertical="center" wrapText="1"/>
      <protection hidden="1"/>
    </xf>
    <xf numFmtId="0" fontId="6" fillId="22" borderId="35" xfId="0" applyFont="1" applyFill="1" applyBorder="1" applyAlignment="1" applyProtection="1">
      <alignment horizontal="center" vertical="center" wrapText="1"/>
      <protection hidden="1"/>
    </xf>
    <xf numFmtId="43" fontId="11" fillId="29" borderId="20" xfId="0" applyNumberFormat="1" applyFont="1" applyFill="1" applyBorder="1" applyAlignment="1" applyProtection="1">
      <alignment horizontal="center" vertical="center" wrapText="1"/>
      <protection hidden="1"/>
    </xf>
    <xf numFmtId="43" fontId="11" fillId="29" borderId="8" xfId="0" applyNumberFormat="1" applyFont="1" applyFill="1" applyBorder="1" applyAlignment="1" applyProtection="1">
      <alignment horizontal="center" vertical="center"/>
      <protection hidden="1"/>
    </xf>
    <xf numFmtId="43" fontId="11" fillId="29" borderId="0" xfId="0" applyNumberFormat="1" applyFont="1" applyFill="1" applyBorder="1" applyAlignment="1" applyProtection="1">
      <alignment horizontal="center" vertical="center"/>
      <protection hidden="1"/>
    </xf>
    <xf numFmtId="0" fontId="11" fillId="27" borderId="3" xfId="0" applyFont="1" applyFill="1" applyBorder="1" applyAlignment="1" applyProtection="1">
      <alignment horizontal="center" vertical="center" wrapText="1"/>
      <protection hidden="1"/>
    </xf>
    <xf numFmtId="43" fontId="11" fillId="22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13" xfId="0" applyNumberFormat="1" applyFont="1" applyFill="1" applyBorder="1" applyAlignment="1" applyProtection="1">
      <alignment horizontal="center" vertical="center" wrapText="1"/>
      <protection hidden="1"/>
    </xf>
    <xf numFmtId="43" fontId="11" fillId="28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2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2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43" xfId="0" applyFont="1" applyFill="1" applyBorder="1" applyAlignment="1" applyProtection="1">
      <alignment horizontal="center" vertical="center" wrapText="1" shrinkToFit="1"/>
      <protection hidden="1"/>
    </xf>
    <xf numFmtId="0" fontId="11" fillId="0" borderId="31" xfId="0" applyFont="1" applyFill="1" applyBorder="1" applyAlignment="1" applyProtection="1">
      <alignment horizontal="center" vertical="center" wrapText="1" shrinkToFit="1"/>
      <protection hidden="1"/>
    </xf>
    <xf numFmtId="0" fontId="11" fillId="0" borderId="32" xfId="0" applyFont="1" applyFill="1" applyBorder="1" applyAlignment="1" applyProtection="1">
      <alignment horizontal="center" vertical="center" wrapText="1" shrinkToFi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43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2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43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43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3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39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4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left" vertical="center" wrapText="1"/>
      <protection hidden="1"/>
    </xf>
    <xf numFmtId="43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21" borderId="17" xfId="0" applyFont="1" applyFill="1" applyBorder="1" applyAlignment="1" applyProtection="1">
      <alignment horizontal="center" vertical="center" wrapText="1"/>
      <protection hidden="1"/>
    </xf>
    <xf numFmtId="0" fontId="9" fillId="21" borderId="24" xfId="0" applyFont="1" applyFill="1" applyBorder="1" applyAlignment="1" applyProtection="1">
      <alignment horizontal="center" vertical="center" wrapText="1"/>
      <protection hidden="1"/>
    </xf>
    <xf numFmtId="0" fontId="9" fillId="21" borderId="28" xfId="0" applyFont="1" applyFill="1" applyBorder="1" applyAlignment="1" applyProtection="1">
      <alignment horizontal="center" vertical="center" wrapText="1"/>
      <protection hidden="1"/>
    </xf>
    <xf numFmtId="0" fontId="9" fillId="21" borderId="29" xfId="0" applyFont="1" applyFill="1" applyBorder="1" applyAlignment="1" applyProtection="1">
      <alignment horizontal="center" vertical="center" wrapText="1"/>
      <protection hidden="1"/>
    </xf>
    <xf numFmtId="0" fontId="9" fillId="21" borderId="18" xfId="0" applyFont="1" applyFill="1" applyBorder="1" applyAlignment="1" applyProtection="1">
      <alignment horizontal="center" vertical="center" wrapText="1"/>
      <protection hidden="1"/>
    </xf>
    <xf numFmtId="0" fontId="9" fillId="21" borderId="1" xfId="0" applyFont="1" applyFill="1" applyBorder="1" applyAlignment="1" applyProtection="1">
      <alignment horizontal="center" vertical="center" wrapText="1"/>
      <protection hidden="1"/>
    </xf>
    <xf numFmtId="0" fontId="9" fillId="21" borderId="19" xfId="0" applyFont="1" applyFill="1" applyBorder="1" applyAlignment="1" applyProtection="1">
      <alignment horizontal="center" vertical="center" wrapText="1"/>
      <protection hidden="1"/>
    </xf>
    <xf numFmtId="0" fontId="9" fillId="21" borderId="20" xfId="0" applyFont="1" applyFill="1" applyBorder="1" applyAlignment="1" applyProtection="1">
      <alignment horizontal="center" vertical="center" wrapText="1"/>
      <protection hidden="1"/>
    </xf>
    <xf numFmtId="0" fontId="9" fillId="21" borderId="7" xfId="0" applyFont="1" applyFill="1" applyBorder="1" applyAlignment="1" applyProtection="1">
      <alignment horizontal="center" vertical="center" wrapText="1"/>
      <protection hidden="1"/>
    </xf>
    <xf numFmtId="0" fontId="9" fillId="21" borderId="8" xfId="0" applyFont="1" applyFill="1" applyBorder="1" applyAlignment="1" applyProtection="1">
      <alignment horizontal="center" vertical="center" wrapText="1"/>
      <protection hidden="1"/>
    </xf>
    <xf numFmtId="0" fontId="9" fillId="21" borderId="9" xfId="0" applyFont="1" applyFill="1" applyBorder="1" applyAlignment="1" applyProtection="1">
      <alignment horizontal="center" vertical="center" wrapText="1"/>
      <protection hidden="1"/>
    </xf>
    <xf numFmtId="0" fontId="9" fillId="21" borderId="11" xfId="0" applyFont="1" applyFill="1" applyBorder="1" applyAlignment="1" applyProtection="1">
      <alignment horizontal="center" vertical="center" wrapText="1"/>
      <protection hidden="1"/>
    </xf>
    <xf numFmtId="0" fontId="9" fillId="21" borderId="21" xfId="0" applyFont="1" applyFill="1" applyBorder="1" applyAlignment="1" applyProtection="1">
      <alignment horizontal="center" vertical="center" wrapText="1"/>
      <protection hidden="1"/>
    </xf>
    <xf numFmtId="0" fontId="9" fillId="21" borderId="12" xfId="0" applyFont="1" applyFill="1" applyBorder="1" applyAlignment="1" applyProtection="1">
      <alignment horizontal="center" vertical="center"/>
      <protection hidden="1"/>
    </xf>
    <xf numFmtId="0" fontId="9" fillId="21" borderId="22" xfId="0" applyFont="1" applyFill="1" applyBorder="1" applyAlignment="1" applyProtection="1">
      <alignment horizontal="center" vertical="center" wrapText="1"/>
      <protection hidden="1"/>
    </xf>
    <xf numFmtId="0" fontId="0" fillId="21" borderId="22" xfId="0" applyFont="1" applyFill="1" applyBorder="1" applyProtection="1">
      <protection hidden="1"/>
    </xf>
    <xf numFmtId="0" fontId="0" fillId="21" borderId="23" xfId="0" applyFont="1" applyFill="1" applyBorder="1" applyProtection="1">
      <protection hidden="1"/>
    </xf>
    <xf numFmtId="0" fontId="0" fillId="21" borderId="7" xfId="0" applyFont="1" applyFill="1" applyBorder="1" applyProtection="1">
      <protection hidden="1"/>
    </xf>
    <xf numFmtId="0" fontId="0" fillId="21" borderId="0" xfId="0" applyFont="1" applyFill="1" applyBorder="1" applyProtection="1">
      <protection hidden="1"/>
    </xf>
    <xf numFmtId="0" fontId="0" fillId="21" borderId="25" xfId="0" applyFont="1" applyFill="1" applyBorder="1" applyProtection="1">
      <protection hidden="1"/>
    </xf>
    <xf numFmtId="0" fontId="0" fillId="21" borderId="9" xfId="0" applyFont="1" applyFill="1" applyBorder="1" applyProtection="1">
      <protection hidden="1"/>
    </xf>
    <xf numFmtId="0" fontId="0" fillId="21" borderId="10" xfId="0" applyFont="1" applyFill="1" applyBorder="1" applyProtection="1">
      <protection hidden="1"/>
    </xf>
    <xf numFmtId="0" fontId="0" fillId="21" borderId="26" xfId="0" applyFont="1" applyFill="1" applyBorder="1" applyProtection="1">
      <protection hidden="1"/>
    </xf>
    <xf numFmtId="0" fontId="10" fillId="21" borderId="3" xfId="0" applyFont="1" applyFill="1" applyBorder="1" applyAlignment="1" applyProtection="1">
      <alignment horizontal="center" vertical="center" wrapText="1"/>
      <protection hidden="1"/>
    </xf>
    <xf numFmtId="0" fontId="10" fillId="21" borderId="12" xfId="0" applyFont="1" applyFill="1" applyBorder="1" applyAlignment="1" applyProtection="1">
      <alignment horizontal="center" vertical="center" wrapText="1"/>
      <protection hidden="1"/>
    </xf>
    <xf numFmtId="0" fontId="10" fillId="21" borderId="33" xfId="0" applyFont="1" applyFill="1" applyBorder="1" applyProtection="1">
      <protection hidden="1"/>
    </xf>
    <xf numFmtId="0" fontId="10" fillId="21" borderId="4" xfId="0" applyFont="1" applyFill="1" applyBorder="1" applyAlignment="1" applyProtection="1">
      <alignment horizontal="center" vertical="center" wrapText="1"/>
      <protection hidden="1"/>
    </xf>
    <xf numFmtId="0" fontId="10" fillId="21" borderId="7" xfId="0" applyFont="1" applyFill="1" applyBorder="1" applyAlignment="1" applyProtection="1">
      <alignment horizontal="center" vertical="center" wrapText="1"/>
      <protection hidden="1"/>
    </xf>
    <xf numFmtId="0" fontId="10" fillId="21" borderId="30" xfId="0" applyFont="1" applyFill="1" applyBorder="1" applyProtection="1">
      <protection hidden="1"/>
    </xf>
    <xf numFmtId="0" fontId="10" fillId="21" borderId="27" xfId="0" applyFont="1" applyFill="1" applyBorder="1" applyAlignment="1" applyProtection="1">
      <alignment horizontal="center" vertical="center" wrapText="1"/>
      <protection hidden="1"/>
    </xf>
    <xf numFmtId="0" fontId="10" fillId="21" borderId="25" xfId="0" applyFont="1" applyFill="1" applyBorder="1" applyAlignment="1" applyProtection="1">
      <alignment horizontal="center" vertical="center" wrapText="1"/>
      <protection hidden="1"/>
    </xf>
    <xf numFmtId="0" fontId="10" fillId="21" borderId="30" xfId="0" applyFont="1" applyFill="1" applyBorder="1" applyAlignment="1" applyProtection="1">
      <alignment horizontal="center" vertical="center" wrapText="1"/>
      <protection hidden="1"/>
    </xf>
    <xf numFmtId="0" fontId="10" fillId="21" borderId="35" xfId="0" applyFont="1" applyFill="1" applyBorder="1" applyAlignment="1" applyProtection="1">
      <alignment horizontal="center" vertical="center" wrapText="1"/>
      <protection hidden="1"/>
    </xf>
    <xf numFmtId="0" fontId="9" fillId="21" borderId="4" xfId="0" applyFont="1" applyFill="1" applyBorder="1" applyAlignment="1" applyProtection="1">
      <alignment horizontal="center" vertical="center" wrapText="1"/>
      <protection hidden="1"/>
    </xf>
    <xf numFmtId="0" fontId="9" fillId="21" borderId="6" xfId="0" applyFont="1" applyFill="1" applyBorder="1" applyAlignment="1" applyProtection="1">
      <alignment horizontal="center" vertical="center" wrapText="1"/>
      <protection hidden="1"/>
    </xf>
    <xf numFmtId="0" fontId="9" fillId="21" borderId="5" xfId="0" applyFont="1" applyFill="1" applyBorder="1" applyAlignment="1" applyProtection="1">
      <alignment horizontal="center" vertical="center" wrapText="1"/>
      <protection hidden="1"/>
    </xf>
    <xf numFmtId="0" fontId="9" fillId="21" borderId="10" xfId="0" applyFont="1" applyFill="1" applyBorder="1" applyAlignment="1" applyProtection="1">
      <alignment horizontal="center" vertical="center" wrapText="1"/>
      <protection hidden="1"/>
    </xf>
    <xf numFmtId="0" fontId="0" fillId="21" borderId="12" xfId="0" applyFont="1" applyFill="1" applyBorder="1" applyProtection="1">
      <protection hidden="1"/>
    </xf>
    <xf numFmtId="0" fontId="0" fillId="21" borderId="33" xfId="0" applyFont="1" applyFill="1" applyBorder="1" applyProtection="1">
      <protection hidden="1"/>
    </xf>
    <xf numFmtId="0" fontId="10" fillId="21" borderId="33" xfId="0" applyFont="1" applyFill="1" applyBorder="1" applyAlignment="1" applyProtection="1">
      <alignment horizontal="center" vertical="center" wrapText="1"/>
      <protection hidden="1"/>
    </xf>
    <xf numFmtId="0" fontId="9" fillId="21" borderId="0" xfId="0" applyFont="1" applyFill="1" applyBorder="1" applyAlignment="1" applyProtection="1">
      <alignment horizontal="center" vertical="center" wrapText="1"/>
      <protection hidden="1"/>
    </xf>
    <xf numFmtId="0" fontId="9" fillId="21" borderId="12" xfId="0" applyFont="1" applyFill="1" applyBorder="1" applyAlignment="1" applyProtection="1">
      <alignment horizontal="center" vertical="center" wrapText="1"/>
      <protection hidden="1"/>
    </xf>
    <xf numFmtId="0" fontId="9" fillId="21" borderId="33" xfId="0" applyFont="1" applyFill="1" applyBorder="1" applyAlignment="1" applyProtection="1">
      <alignment horizontal="center" vertical="center" wrapText="1"/>
      <protection hidden="1"/>
    </xf>
    <xf numFmtId="0" fontId="9" fillId="21" borderId="34" xfId="0" applyFont="1" applyFill="1" applyBorder="1" applyAlignment="1" applyProtection="1">
      <alignment horizontal="center" vertical="center" wrapText="1"/>
      <protection hidden="1"/>
    </xf>
    <xf numFmtId="0" fontId="9" fillId="21" borderId="30" xfId="0" applyFont="1" applyFill="1" applyBorder="1" applyAlignment="1" applyProtection="1">
      <alignment horizontal="center" vertical="center" wrapText="1"/>
      <protection hidden="1"/>
    </xf>
    <xf numFmtId="0" fontId="9" fillId="21" borderId="31" xfId="0" applyFont="1" applyFill="1" applyBorder="1" applyAlignment="1" applyProtection="1">
      <alignment horizontal="center" vertical="center" wrapText="1"/>
      <protection hidden="1"/>
    </xf>
    <xf numFmtId="0" fontId="9" fillId="21" borderId="32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22" borderId="35" xfId="0" applyNumberFormat="1" applyFont="1" applyFill="1" applyBorder="1" applyAlignment="1" applyProtection="1">
      <alignment horizontal="center" vertical="center" wrapText="1"/>
      <protection hidden="1"/>
    </xf>
    <xf numFmtId="43" fontId="11" fillId="25" borderId="24" xfId="0" applyNumberFormat="1" applyFont="1" applyFill="1" applyBorder="1" applyAlignment="1" applyProtection="1">
      <alignment horizontal="center" vertical="center" wrapText="1"/>
      <protection hidden="1"/>
    </xf>
    <xf numFmtId="43" fontId="11" fillId="25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24" borderId="3" xfId="0" applyFont="1" applyFill="1" applyBorder="1" applyAlignment="1" applyProtection="1">
      <alignment horizontal="center" vertical="center" wrapText="1"/>
      <protection hidden="1"/>
    </xf>
    <xf numFmtId="0" fontId="12" fillId="24" borderId="12" xfId="0" applyFont="1" applyFill="1" applyBorder="1" applyAlignment="1" applyProtection="1">
      <alignment horizontal="center" vertical="center" wrapText="1"/>
      <protection hidden="1"/>
    </xf>
    <xf numFmtId="0" fontId="12" fillId="24" borderId="2" xfId="0" applyFont="1" applyFill="1" applyBorder="1" applyAlignment="1" applyProtection="1">
      <alignment horizontal="center" vertical="center" wrapText="1"/>
      <protection hidden="1"/>
    </xf>
    <xf numFmtId="43" fontId="11" fillId="23" borderId="45" xfId="0" applyNumberFormat="1" applyFont="1" applyFill="1" applyBorder="1" applyAlignment="1" applyProtection="1">
      <alignment horizontal="center" vertical="center" wrapText="1"/>
      <protection hidden="1"/>
    </xf>
    <xf numFmtId="43" fontId="11" fillId="23" borderId="46" xfId="0" applyNumberFormat="1" applyFont="1" applyFill="1" applyBorder="1" applyAlignment="1" applyProtection="1">
      <alignment horizontal="center" vertical="center"/>
      <protection hidden="1"/>
    </xf>
    <xf numFmtId="0" fontId="11" fillId="24" borderId="18" xfId="0" applyFont="1" applyFill="1" applyBorder="1" applyAlignment="1" applyProtection="1">
      <alignment horizontal="center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43" fontId="11" fillId="22" borderId="21" xfId="0" applyNumberFormat="1" applyFont="1" applyFill="1" applyBorder="1" applyAlignment="1" applyProtection="1">
      <alignment horizontal="center" vertical="center" wrapText="1"/>
      <protection hidden="1"/>
    </xf>
    <xf numFmtId="43" fontId="11" fillId="22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4" borderId="3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14" fillId="29" borderId="17" xfId="0" applyFont="1" applyFill="1" applyBorder="1" applyAlignment="1">
      <alignment horizontal="center" vertical="center" wrapText="1"/>
    </xf>
    <xf numFmtId="0" fontId="14" fillId="29" borderId="24" xfId="0" applyFont="1" applyFill="1" applyBorder="1" applyAlignment="1">
      <alignment horizontal="center" vertical="center" wrapText="1"/>
    </xf>
    <xf numFmtId="0" fontId="14" fillId="29" borderId="28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0" fontId="15" fillId="29" borderId="18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29" borderId="1" xfId="0" applyFont="1" applyFill="1" applyBorder="1" applyAlignment="1">
      <alignment horizontal="center" vertical="center" wrapText="1"/>
    </xf>
    <xf numFmtId="0" fontId="15" fillId="29" borderId="19" xfId="0" applyFont="1" applyFill="1" applyBorder="1" applyAlignment="1">
      <alignment horizontal="center" vertical="center" wrapText="1"/>
    </xf>
    <xf numFmtId="0" fontId="15" fillId="29" borderId="20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8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  <xf numFmtId="0" fontId="15" fillId="29" borderId="21" xfId="0" applyFont="1" applyFill="1" applyBorder="1" applyAlignment="1">
      <alignment horizontal="center" vertical="center" wrapText="1"/>
    </xf>
    <xf numFmtId="0" fontId="15" fillId="29" borderId="12" xfId="0" applyFont="1" applyFill="1" applyBorder="1" applyAlignment="1">
      <alignment horizontal="center" vertical="center"/>
    </xf>
    <xf numFmtId="0" fontId="15" fillId="29" borderId="22" xfId="0" applyFont="1" applyFill="1" applyBorder="1" applyAlignment="1">
      <alignment horizontal="center" vertical="center" wrapText="1"/>
    </xf>
    <xf numFmtId="0" fontId="16" fillId="29" borderId="22" xfId="0" applyFont="1" applyFill="1" applyBorder="1"/>
    <xf numFmtId="0" fontId="16" fillId="29" borderId="23" xfId="0" applyFont="1" applyFill="1" applyBorder="1"/>
    <xf numFmtId="0" fontId="16" fillId="29" borderId="7" xfId="0" applyFont="1" applyFill="1" applyBorder="1"/>
    <xf numFmtId="0" fontId="16" fillId="29" borderId="0" xfId="0" applyFont="1" applyFill="1" applyBorder="1"/>
    <xf numFmtId="0" fontId="16" fillId="29" borderId="25" xfId="0" applyFont="1" applyFill="1" applyBorder="1"/>
    <xf numFmtId="0" fontId="16" fillId="29" borderId="9" xfId="0" applyFont="1" applyFill="1" applyBorder="1"/>
    <xf numFmtId="0" fontId="16" fillId="29" borderId="10" xfId="0" applyFont="1" applyFill="1" applyBorder="1"/>
    <xf numFmtId="0" fontId="16" fillId="29" borderId="26" xfId="0" applyFont="1" applyFill="1" applyBorder="1"/>
    <xf numFmtId="0" fontId="16" fillId="29" borderId="4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30" xfId="0" applyFont="1" applyFill="1" applyBorder="1"/>
    <xf numFmtId="0" fontId="17" fillId="29" borderId="49" xfId="0" applyFont="1" applyFill="1" applyBorder="1" applyAlignment="1">
      <alignment horizontal="center" vertical="center" wrapText="1"/>
    </xf>
    <xf numFmtId="0" fontId="17" fillId="29" borderId="50" xfId="0" applyFont="1" applyFill="1" applyBorder="1" applyAlignment="1">
      <alignment horizontal="center" vertical="center" wrapText="1"/>
    </xf>
    <xf numFmtId="0" fontId="17" fillId="29" borderId="51" xfId="0" applyFont="1" applyFill="1" applyBorder="1"/>
    <xf numFmtId="0" fontId="15" fillId="29" borderId="4" xfId="0" applyFont="1" applyFill="1" applyBorder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6" xfId="0" applyFont="1" applyFill="1" applyBorder="1" applyAlignment="1">
      <alignment horizontal="center" vertical="center" wrapText="1"/>
    </xf>
    <xf numFmtId="0" fontId="15" fillId="29" borderId="0" xfId="0" applyFont="1" applyFill="1" applyBorder="1" applyAlignment="1">
      <alignment horizontal="center" vertical="center" wrapText="1"/>
    </xf>
    <xf numFmtId="0" fontId="15" fillId="29" borderId="10" xfId="0" applyFont="1" applyFill="1" applyBorder="1" applyAlignment="1">
      <alignment horizontal="center" vertical="center" wrapText="1"/>
    </xf>
    <xf numFmtId="0" fontId="15" fillId="29" borderId="12" xfId="0" applyFont="1" applyFill="1" applyBorder="1" applyAlignment="1">
      <alignment horizontal="center" vertical="center" wrapText="1"/>
    </xf>
    <xf numFmtId="0" fontId="15" fillId="29" borderId="33" xfId="0" applyFont="1" applyFill="1" applyBorder="1" applyAlignment="1">
      <alignment horizontal="center" vertical="center" wrapText="1"/>
    </xf>
    <xf numFmtId="0" fontId="15" fillId="29" borderId="34" xfId="0" applyFont="1" applyFill="1" applyBorder="1" applyAlignment="1">
      <alignment horizontal="center" vertical="center" wrapText="1"/>
    </xf>
    <xf numFmtId="0" fontId="15" fillId="29" borderId="30" xfId="0" applyFont="1" applyFill="1" applyBorder="1" applyAlignment="1">
      <alignment horizontal="center" vertical="center" wrapText="1"/>
    </xf>
    <xf numFmtId="0" fontId="15" fillId="29" borderId="31" xfId="0" applyFont="1" applyFill="1" applyBorder="1" applyAlignment="1">
      <alignment horizontal="center" vertical="center" wrapText="1"/>
    </xf>
    <xf numFmtId="0" fontId="15" fillId="29" borderId="32" xfId="0" applyFont="1" applyFill="1" applyBorder="1" applyAlignment="1">
      <alignment horizontal="center" vertical="center" wrapText="1"/>
    </xf>
    <xf numFmtId="0" fontId="16" fillId="29" borderId="3" xfId="0" applyFont="1" applyFill="1" applyBorder="1" applyAlignment="1">
      <alignment horizontal="center" vertical="center" wrapText="1"/>
    </xf>
    <xf numFmtId="0" fontId="16" fillId="29" borderId="12" xfId="0" applyFont="1" applyFill="1" applyBorder="1" applyAlignment="1">
      <alignment horizontal="center" vertical="center" wrapText="1"/>
    </xf>
    <xf numFmtId="0" fontId="16" fillId="29" borderId="33" xfId="0" applyFont="1" applyFill="1" applyBorder="1"/>
    <xf numFmtId="0" fontId="14" fillId="29" borderId="4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 wrapText="1"/>
    </xf>
    <xf numFmtId="0" fontId="14" fillId="29" borderId="9" xfId="0" applyFont="1" applyFill="1" applyBorder="1" applyAlignment="1">
      <alignment horizontal="center" vertical="center" wrapText="1"/>
    </xf>
    <xf numFmtId="0" fontId="14" fillId="29" borderId="11" xfId="0" applyFont="1" applyFill="1" applyBorder="1" applyAlignment="1">
      <alignment horizontal="center" vertical="center" wrapText="1"/>
    </xf>
    <xf numFmtId="0" fontId="17" fillId="29" borderId="3" xfId="0" applyFont="1" applyFill="1" applyBorder="1" applyAlignment="1">
      <alignment horizontal="center" vertical="center" wrapText="1"/>
    </xf>
    <xf numFmtId="0" fontId="17" fillId="29" borderId="12" xfId="0" applyFont="1" applyFill="1" applyBorder="1"/>
    <xf numFmtId="0" fontId="17" fillId="29" borderId="33" xfId="0" applyFont="1" applyFill="1" applyBorder="1"/>
    <xf numFmtId="0" fontId="16" fillId="29" borderId="33" xfId="0" applyFont="1" applyFill="1" applyBorder="1" applyAlignment="1">
      <alignment horizontal="center" vertical="center" wrapText="1"/>
    </xf>
    <xf numFmtId="43" fontId="15" fillId="22" borderId="18" xfId="0" applyNumberFormat="1" applyFont="1" applyFill="1" applyBorder="1" applyAlignment="1">
      <alignment horizontal="center" vertical="center" wrapText="1"/>
    </xf>
    <xf numFmtId="43" fontId="15" fillId="22" borderId="1" xfId="0" applyNumberFormat="1" applyFont="1" applyFill="1" applyBorder="1" applyAlignment="1">
      <alignment horizontal="center" vertical="center" wrapText="1"/>
    </xf>
    <xf numFmtId="43" fontId="15" fillId="28" borderId="1" xfId="0" applyNumberFormat="1" applyFont="1" applyFill="1" applyBorder="1" applyAlignment="1">
      <alignment horizontal="center" vertical="center" wrapText="1"/>
    </xf>
    <xf numFmtId="43" fontId="15" fillId="28" borderId="34" xfId="0" applyNumberFormat="1" applyFont="1" applyFill="1" applyBorder="1" applyAlignment="1">
      <alignment horizontal="center" vertical="center" wrapText="1"/>
    </xf>
    <xf numFmtId="43" fontId="16" fillId="22" borderId="57" xfId="0" applyNumberFormat="1" applyFont="1" applyFill="1" applyBorder="1" applyAlignment="1">
      <alignment horizontal="center" vertical="center" wrapText="1"/>
    </xf>
    <xf numFmtId="43" fontId="16" fillId="22" borderId="12" xfId="0" applyNumberFormat="1" applyFont="1" applyFill="1" applyBorder="1" applyAlignment="1">
      <alignment horizontal="center" vertical="center" wrapText="1"/>
    </xf>
    <xf numFmtId="43" fontId="16" fillId="22" borderId="33" xfId="0" applyNumberFormat="1" applyFont="1" applyFill="1" applyBorder="1" applyAlignment="1">
      <alignment horizontal="center" vertical="center" wrapText="1"/>
    </xf>
    <xf numFmtId="43" fontId="16" fillId="22" borderId="3" xfId="0" applyNumberFormat="1" applyFont="1" applyFill="1" applyBorder="1" applyAlignment="1">
      <alignment horizontal="center" vertical="center" wrapText="1"/>
    </xf>
    <xf numFmtId="43" fontId="16" fillId="22" borderId="55" xfId="0" applyNumberFormat="1" applyFont="1" applyFill="1" applyBorder="1" applyAlignment="1">
      <alignment horizontal="center" vertical="center" wrapText="1"/>
    </xf>
    <xf numFmtId="43" fontId="15" fillId="26" borderId="21" xfId="0" applyNumberFormat="1" applyFont="1" applyFill="1" applyBorder="1" applyAlignment="1">
      <alignment horizontal="center" vertical="center" wrapText="1"/>
    </xf>
    <xf numFmtId="43" fontId="15" fillId="26" borderId="12" xfId="0" applyNumberFormat="1" applyFont="1" applyFill="1" applyBorder="1" applyAlignment="1">
      <alignment horizontal="center" vertical="center"/>
    </xf>
    <xf numFmtId="0" fontId="15" fillId="27" borderId="18" xfId="0" applyFont="1" applyFill="1" applyBorder="1" applyAlignment="1">
      <alignment horizontal="center" vertical="center" wrapText="1"/>
    </xf>
    <xf numFmtId="0" fontId="15" fillId="27" borderId="1" xfId="0" applyFont="1" applyFill="1" applyBorder="1" applyAlignment="1">
      <alignment horizontal="center" vertical="center" wrapText="1"/>
    </xf>
    <xf numFmtId="0" fontId="16" fillId="22" borderId="21" xfId="0" applyFont="1" applyFill="1" applyBorder="1" applyAlignment="1">
      <alignment horizontal="center" vertical="center" wrapText="1"/>
    </xf>
    <xf numFmtId="0" fontId="16" fillId="22" borderId="12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7" borderId="3" xfId="0" applyFont="1" applyFill="1" applyBorder="1" applyAlignment="1">
      <alignment horizontal="center" vertical="center" wrapText="1"/>
    </xf>
    <xf numFmtId="0" fontId="16" fillId="27" borderId="12" xfId="0" applyFont="1" applyFill="1" applyBorder="1" applyAlignment="1">
      <alignment horizontal="center" vertical="center" wrapText="1"/>
    </xf>
    <xf numFmtId="0" fontId="16" fillId="27" borderId="33" xfId="0" applyFont="1" applyFill="1" applyBorder="1" applyAlignment="1">
      <alignment horizontal="center" vertical="center" wrapText="1"/>
    </xf>
    <xf numFmtId="0" fontId="16" fillId="22" borderId="3" xfId="0" applyFont="1" applyFill="1" applyBorder="1" applyAlignment="1">
      <alignment horizontal="center" vertical="center" wrapText="1"/>
    </xf>
    <xf numFmtId="0" fontId="16" fillId="22" borderId="33" xfId="0" applyFont="1" applyFill="1" applyBorder="1" applyAlignment="1">
      <alignment horizontal="center" vertical="center" wrapText="1"/>
    </xf>
    <xf numFmtId="43" fontId="16" fillId="22" borderId="54" xfId="0" applyNumberFormat="1" applyFont="1" applyFill="1" applyBorder="1" applyAlignment="1">
      <alignment horizontal="center" vertical="center" wrapText="1"/>
    </xf>
    <xf numFmtId="166" fontId="16" fillId="22" borderId="58" xfId="0" applyNumberFormat="1" applyFont="1" applyFill="1" applyBorder="1" applyAlignment="1">
      <alignment horizontal="center" vertical="center" wrapText="1"/>
    </xf>
    <xf numFmtId="166" fontId="16" fillId="22" borderId="50" xfId="0" applyNumberFormat="1" applyFont="1" applyFill="1" applyBorder="1" applyAlignment="1">
      <alignment horizontal="center" vertical="center" wrapText="1"/>
    </xf>
    <xf numFmtId="166" fontId="16" fillId="22" borderId="51" xfId="0" applyNumberFormat="1" applyFont="1" applyFill="1" applyBorder="1" applyAlignment="1">
      <alignment horizontal="center" vertical="center" wrapText="1"/>
    </xf>
    <xf numFmtId="39" fontId="15" fillId="22" borderId="52" xfId="0" applyNumberFormat="1" applyFont="1" applyFill="1" applyBorder="1" applyAlignment="1">
      <alignment horizontal="center" vertical="center" wrapText="1"/>
    </xf>
    <xf numFmtId="39" fontId="15" fillId="22" borderId="53" xfId="0" applyNumberFormat="1" applyFont="1" applyFill="1" applyBorder="1" applyAlignment="1">
      <alignment horizontal="center" vertical="center" wrapText="1"/>
    </xf>
    <xf numFmtId="166" fontId="16" fillId="22" borderId="49" xfId="0" applyNumberFormat="1" applyFont="1" applyFill="1" applyBorder="1" applyAlignment="1">
      <alignment horizontal="center" vertical="center" wrapText="1"/>
    </xf>
    <xf numFmtId="166" fontId="16" fillId="22" borderId="56" xfId="0" applyNumberFormat="1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15" fillId="22" borderId="39" xfId="0" applyFont="1" applyFill="1" applyBorder="1" applyAlignment="1">
      <alignment horizontal="center" vertical="center" wrapText="1"/>
    </xf>
    <xf numFmtId="0" fontId="15" fillId="22" borderId="28" xfId="0" applyFont="1" applyFill="1" applyBorder="1" applyAlignment="1">
      <alignment horizontal="center" vertical="center" wrapText="1"/>
    </xf>
    <xf numFmtId="0" fontId="15" fillId="22" borderId="29" xfId="0" applyFont="1" applyFill="1" applyBorder="1" applyAlignment="1">
      <alignment horizontal="center" vertical="center" wrapText="1"/>
    </xf>
    <xf numFmtId="0" fontId="16" fillId="22" borderId="37" xfId="0" applyFont="1" applyFill="1" applyBorder="1" applyAlignment="1">
      <alignment horizontal="center" vertical="center"/>
    </xf>
    <xf numFmtId="0" fontId="16" fillId="22" borderId="18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2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2" borderId="7" xfId="0" applyFont="1" applyFill="1" applyBorder="1" applyAlignment="1">
      <alignment horizontal="center" vertical="center" wrapText="1" shrinkToFit="1"/>
    </xf>
    <xf numFmtId="0" fontId="15" fillId="22" borderId="0" xfId="0" applyFont="1" applyFill="1" applyBorder="1" applyAlignment="1">
      <alignment horizontal="center" vertical="center" wrapText="1" shrinkToFit="1"/>
    </xf>
    <xf numFmtId="0" fontId="15" fillId="22" borderId="8" xfId="0" applyFont="1" applyFill="1" applyBorder="1" applyAlignment="1">
      <alignment horizontal="center" vertical="center" wrapText="1" shrinkToFit="1"/>
    </xf>
    <xf numFmtId="0" fontId="15" fillId="22" borderId="30" xfId="0" applyFont="1" applyFill="1" applyBorder="1" applyAlignment="1">
      <alignment horizontal="center" vertical="center" wrapText="1" shrinkToFit="1"/>
    </xf>
    <xf numFmtId="0" fontId="15" fillId="22" borderId="31" xfId="0" applyFont="1" applyFill="1" applyBorder="1" applyAlignment="1">
      <alignment horizontal="center" vertical="center" wrapText="1" shrinkToFit="1"/>
    </xf>
    <xf numFmtId="0" fontId="15" fillId="22" borderId="32" xfId="0" applyFont="1" applyFill="1" applyBorder="1" applyAlignment="1">
      <alignment horizontal="center" vertical="center" wrapText="1" shrinkToFit="1"/>
    </xf>
    <xf numFmtId="0" fontId="16" fillId="22" borderId="13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 wrapText="1"/>
    </xf>
    <xf numFmtId="0" fontId="16" fillId="22" borderId="6" xfId="0" applyFont="1" applyFill="1" applyBorder="1" applyAlignment="1">
      <alignment horizontal="center" vertical="center" wrapText="1"/>
    </xf>
    <xf numFmtId="0" fontId="15" fillId="22" borderId="44" xfId="0" applyFont="1" applyFill="1" applyBorder="1" applyAlignment="1">
      <alignment horizontal="center" vertical="center" wrapText="1"/>
    </xf>
    <xf numFmtId="0" fontId="15" fillId="22" borderId="22" xfId="0" applyFont="1" applyFill="1" applyBorder="1" applyAlignment="1">
      <alignment horizontal="center" vertical="center" wrapText="1"/>
    </xf>
    <xf numFmtId="0" fontId="15" fillId="22" borderId="20" xfId="0" applyFont="1" applyFill="1" applyBorder="1" applyAlignment="1">
      <alignment horizontal="center" vertical="center" wrapText="1"/>
    </xf>
    <xf numFmtId="0" fontId="15" fillId="22" borderId="40" xfId="0" applyFont="1" applyFill="1" applyBorder="1" applyAlignment="1">
      <alignment horizontal="center" vertical="center" wrapText="1"/>
    </xf>
    <xf numFmtId="0" fontId="15" fillId="22" borderId="0" xfId="0" applyFont="1" applyFill="1" applyBorder="1" applyAlignment="1">
      <alignment horizontal="center" vertical="center" wrapText="1"/>
    </xf>
    <xf numFmtId="0" fontId="15" fillId="22" borderId="8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 wrapText="1"/>
    </xf>
    <xf numFmtId="0" fontId="15" fillId="22" borderId="31" xfId="0" applyFont="1" applyFill="1" applyBorder="1" applyAlignment="1">
      <alignment horizontal="center" vertical="center" wrapText="1"/>
    </xf>
    <xf numFmtId="0" fontId="15" fillId="22" borderId="32" xfId="0" applyFont="1" applyFill="1" applyBorder="1" applyAlignment="1">
      <alignment horizontal="center" vertical="center" wrapText="1"/>
    </xf>
    <xf numFmtId="0" fontId="52" fillId="0" borderId="172" xfId="2" applyFont="1" applyBorder="1" applyAlignment="1">
      <alignment horizontal="center"/>
    </xf>
    <xf numFmtId="0" fontId="51" fillId="0" borderId="0" xfId="2" applyFont="1" applyAlignment="1">
      <alignment horizontal="center"/>
    </xf>
    <xf numFmtId="0" fontId="1" fillId="60" borderId="165" xfId="2" applyFont="1" applyFill="1" applyBorder="1" applyAlignment="1">
      <alignment horizontal="left" vertical="center"/>
    </xf>
    <xf numFmtId="0" fontId="1" fillId="60" borderId="166" xfId="2" applyFont="1" applyFill="1" applyBorder="1" applyAlignment="1">
      <alignment horizontal="left" vertical="center"/>
    </xf>
    <xf numFmtId="0" fontId="1" fillId="61" borderId="169" xfId="2" applyFont="1" applyFill="1" applyBorder="1" applyAlignment="1">
      <alignment horizontal="left" vertical="center"/>
    </xf>
    <xf numFmtId="0" fontId="1" fillId="61" borderId="170" xfId="2" applyFont="1" applyFill="1" applyBorder="1" applyAlignment="1">
      <alignment horizontal="left" vertical="center"/>
    </xf>
    <xf numFmtId="0" fontId="2" fillId="62" borderId="0" xfId="2" applyFont="1" applyFill="1" applyBorder="1" applyAlignment="1">
      <alignment horizontal="left" vertical="center" wrapText="1"/>
    </xf>
    <xf numFmtId="14" fontId="39" fillId="0" borderId="171" xfId="2" applyNumberFormat="1" applyFont="1" applyBorder="1" applyAlignment="1">
      <alignment horizontal="center"/>
    </xf>
    <xf numFmtId="0" fontId="39" fillId="0" borderId="171" xfId="2" applyFont="1" applyBorder="1" applyAlignment="1">
      <alignment horizontal="center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9" borderId="163" xfId="2" applyFont="1" applyFill="1" applyBorder="1" applyAlignment="1">
      <alignment horizontal="left" vertical="center" wrapText="1"/>
    </xf>
    <xf numFmtId="0" fontId="1" fillId="59" borderId="160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58" borderId="159" xfId="2" applyFont="1" applyFill="1" applyBorder="1" applyAlignment="1">
      <alignment horizontal="left" vertical="center" wrapText="1"/>
    </xf>
    <xf numFmtId="0" fontId="1" fillId="58" borderId="160" xfId="2" applyFont="1" applyFill="1" applyBorder="1" applyAlignment="1">
      <alignment horizontal="left" vertical="center" wrapText="1"/>
    </xf>
    <xf numFmtId="0" fontId="8" fillId="57" borderId="15" xfId="2" applyFont="1" applyFill="1" applyBorder="1" applyAlignment="1">
      <alignment horizontal="center" vertical="center"/>
    </xf>
    <xf numFmtId="0" fontId="8" fillId="57" borderId="13" xfId="2" applyFont="1" applyFill="1" applyBorder="1" applyAlignment="1">
      <alignment horizontal="center" vertical="center"/>
    </xf>
    <xf numFmtId="0" fontId="8" fillId="57" borderId="3" xfId="2" applyFont="1" applyFill="1" applyBorder="1" applyAlignment="1">
      <alignment horizontal="center" vertical="center"/>
    </xf>
    <xf numFmtId="0" fontId="8" fillId="57" borderId="2" xfId="2" applyFont="1" applyFill="1" applyBorder="1" applyAlignment="1">
      <alignment horizontal="center" vertical="center"/>
    </xf>
    <xf numFmtId="0" fontId="8" fillId="57" borderId="4" xfId="2" applyFont="1" applyFill="1" applyBorder="1" applyAlignment="1">
      <alignment horizontal="center" vertical="center"/>
    </xf>
    <xf numFmtId="0" fontId="8" fillId="57" borderId="6" xfId="2" applyFont="1" applyFill="1" applyBorder="1" applyAlignment="1">
      <alignment horizontal="center" vertical="center"/>
    </xf>
    <xf numFmtId="0" fontId="8" fillId="57" borderId="9" xfId="2" applyFont="1" applyFill="1" applyBorder="1" applyAlignment="1">
      <alignment horizontal="center" vertical="center"/>
    </xf>
    <xf numFmtId="0" fontId="8" fillId="57" borderId="11" xfId="2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95" xfId="0" applyBorder="1" applyAlignment="1">
      <alignment horizontal="center"/>
    </xf>
    <xf numFmtId="0" fontId="26" fillId="0" borderId="87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4" fontId="28" fillId="0" borderId="1" xfId="1" applyNumberFormat="1" applyFont="1" applyFill="1" applyBorder="1" applyAlignment="1"/>
    <xf numFmtId="0" fontId="28" fillId="0" borderId="101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4" fontId="28" fillId="0" borderId="15" xfId="1" applyNumberFormat="1" applyFont="1" applyFill="1" applyBorder="1" applyAlignment="1"/>
    <xf numFmtId="4" fontId="28" fillId="0" borderId="13" xfId="1" applyNumberFormat="1" applyFont="1" applyFill="1" applyBorder="1" applyAlignment="1"/>
    <xf numFmtId="4" fontId="28" fillId="0" borderId="107" xfId="1" applyNumberFormat="1" applyFont="1" applyFill="1" applyBorder="1" applyAlignment="1"/>
    <xf numFmtId="0" fontId="29" fillId="0" borderId="98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8" fillId="0" borderId="93" xfId="0" applyFont="1" applyBorder="1" applyAlignment="1">
      <alignment horizontal="left" vertical="center"/>
    </xf>
    <xf numFmtId="0" fontId="28" fillId="0" borderId="100" xfId="0" applyFont="1" applyBorder="1" applyAlignment="1">
      <alignment horizontal="left" vertical="center"/>
    </xf>
    <xf numFmtId="0" fontId="28" fillId="0" borderId="93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4" fontId="28" fillId="0" borderId="11" xfId="1" applyNumberFormat="1" applyFont="1" applyFill="1" applyBorder="1" applyAlignment="1"/>
    <xf numFmtId="4" fontId="28" fillId="0" borderId="9" xfId="1" applyNumberFormat="1" applyFont="1" applyFill="1" applyBorder="1" applyAlignment="1"/>
    <xf numFmtId="4" fontId="28" fillId="0" borderId="2" xfId="1" applyNumberFormat="1" applyFont="1" applyFill="1" applyBorder="1" applyAlignment="1"/>
    <xf numFmtId="4" fontId="28" fillId="0" borderId="105" xfId="1" applyNumberFormat="1" applyFont="1" applyFill="1" applyBorder="1" applyAlignment="1"/>
    <xf numFmtId="3" fontId="28" fillId="0" borderId="106" xfId="1" applyNumberFormat="1" applyFont="1" applyFill="1" applyBorder="1" applyAlignment="1"/>
    <xf numFmtId="3" fontId="28" fillId="0" borderId="1" xfId="1" applyNumberFormat="1" applyFont="1" applyFill="1" applyBorder="1" applyAlignment="1"/>
    <xf numFmtId="3" fontId="34" fillId="50" borderId="101" xfId="0" applyNumberFormat="1" applyFont="1" applyFill="1" applyBorder="1" applyAlignment="1"/>
    <xf numFmtId="3" fontId="34" fillId="50" borderId="108" xfId="0" applyNumberFormat="1" applyFont="1" applyFill="1" applyBorder="1" applyAlignment="1"/>
    <xf numFmtId="3" fontId="33" fillId="50" borderId="108" xfId="0" applyNumberFormat="1" applyFont="1" applyFill="1" applyBorder="1" applyAlignment="1"/>
    <xf numFmtId="3" fontId="33" fillId="50" borderId="113" xfId="0" applyNumberFormat="1" applyFont="1" applyFill="1" applyBorder="1" applyAlignment="1"/>
    <xf numFmtId="3" fontId="33" fillId="50" borderId="116" xfId="0" applyNumberFormat="1" applyFont="1" applyFill="1" applyBorder="1" applyAlignment="1"/>
    <xf numFmtId="3" fontId="33" fillId="50" borderId="114" xfId="0" applyNumberFormat="1" applyFont="1" applyFill="1" applyBorder="1" applyAlignment="1"/>
    <xf numFmtId="43" fontId="30" fillId="0" borderId="121" xfId="1" applyNumberFormat="1" applyFont="1" applyFill="1" applyBorder="1" applyAlignment="1">
      <alignment horizontal="center"/>
    </xf>
    <xf numFmtId="43" fontId="30" fillId="0" borderId="0" xfId="1" applyNumberFormat="1" applyFont="1" applyFill="1" applyBorder="1" applyAlignment="1">
      <alignment horizontal="center"/>
    </xf>
    <xf numFmtId="43" fontId="30" fillId="0" borderId="122" xfId="1" applyNumberFormat="1" applyFont="1" applyFill="1" applyBorder="1" applyAlignment="1">
      <alignment horizontal="center"/>
    </xf>
    <xf numFmtId="43" fontId="30" fillId="0" borderId="125" xfId="1" applyNumberFormat="1" applyFont="1" applyFill="1" applyBorder="1" applyAlignment="1">
      <alignment horizontal="center"/>
    </xf>
    <xf numFmtId="43" fontId="30" fillId="0" borderId="126" xfId="1" applyNumberFormat="1" applyFont="1" applyFill="1" applyBorder="1" applyAlignment="1">
      <alignment horizontal="center"/>
    </xf>
    <xf numFmtId="43" fontId="30" fillId="0" borderId="127" xfId="1" applyNumberFormat="1" applyFont="1" applyFill="1" applyBorder="1" applyAlignment="1">
      <alignment horizontal="center"/>
    </xf>
    <xf numFmtId="43" fontId="30" fillId="0" borderId="123" xfId="1" applyNumberFormat="1" applyFont="1" applyFill="1" applyBorder="1" applyAlignment="1">
      <alignment horizontal="center"/>
    </xf>
    <xf numFmtId="43" fontId="30" fillId="0" borderId="5" xfId="1" applyNumberFormat="1" applyFont="1" applyFill="1" applyBorder="1" applyAlignment="1">
      <alignment horizontal="center"/>
    </xf>
    <xf numFmtId="43" fontId="30" fillId="0" borderId="124" xfId="1" applyNumberFormat="1" applyFont="1" applyFill="1" applyBorder="1" applyAlignment="1">
      <alignment horizontal="center"/>
    </xf>
    <xf numFmtId="43" fontId="30" fillId="0" borderId="128" xfId="1" applyNumberFormat="1" applyFont="1" applyFill="1" applyBorder="1" applyAlignment="1">
      <alignment horizontal="center"/>
    </xf>
    <xf numFmtId="43" fontId="30" fillId="0" borderId="10" xfId="1" applyNumberFormat="1" applyFont="1" applyFill="1" applyBorder="1" applyAlignment="1">
      <alignment horizontal="center"/>
    </xf>
    <xf numFmtId="43" fontId="30" fillId="0" borderId="129" xfId="1" applyNumberFormat="1" applyFont="1" applyFill="1" applyBorder="1" applyAlignment="1">
      <alignment horizontal="center"/>
    </xf>
    <xf numFmtId="43" fontId="30" fillId="0" borderId="4" xfId="1" applyNumberFormat="1" applyFont="1" applyFill="1" applyBorder="1" applyAlignment="1">
      <alignment horizontal="center"/>
    </xf>
    <xf numFmtId="43" fontId="30" fillId="0" borderId="6" xfId="1" applyNumberFormat="1" applyFont="1" applyFill="1" applyBorder="1" applyAlignment="1">
      <alignment horizontal="center"/>
    </xf>
    <xf numFmtId="43" fontId="30" fillId="0" borderId="7" xfId="1" applyNumberFormat="1" applyFont="1" applyFill="1" applyBorder="1" applyAlignment="1">
      <alignment horizontal="center"/>
    </xf>
    <xf numFmtId="43" fontId="30" fillId="0" borderId="8" xfId="1" applyNumberFormat="1" applyFont="1" applyFill="1" applyBorder="1" applyAlignment="1">
      <alignment horizontal="center"/>
    </xf>
    <xf numFmtId="43" fontId="30" fillId="0" borderId="9" xfId="1" applyNumberFormat="1" applyFont="1" applyFill="1" applyBorder="1" applyAlignment="1">
      <alignment horizontal="center"/>
    </xf>
    <xf numFmtId="43" fontId="30" fillId="0" borderId="11" xfId="1" applyNumberFormat="1" applyFont="1" applyFill="1" applyBorder="1" applyAlignment="1">
      <alignment horizontal="center"/>
    </xf>
    <xf numFmtId="43" fontId="30" fillId="0" borderId="15" xfId="1" applyNumberFormat="1" applyFont="1" applyFill="1" applyBorder="1" applyAlignment="1">
      <alignment horizontal="center"/>
    </xf>
    <xf numFmtId="43" fontId="30" fillId="0" borderId="14" xfId="1" applyNumberFormat="1" applyFont="1" applyFill="1" applyBorder="1" applyAlignment="1">
      <alignment horizontal="center"/>
    </xf>
    <xf numFmtId="43" fontId="30" fillId="0" borderId="13" xfId="1" applyNumberFormat="1" applyFont="1" applyFill="1" applyBorder="1" applyAlignment="1">
      <alignment horizontal="center"/>
    </xf>
    <xf numFmtId="43" fontId="28" fillId="0" borderId="90" xfId="1" applyNumberFormat="1" applyFont="1" applyFill="1" applyBorder="1" applyAlignment="1"/>
    <xf numFmtId="43" fontId="0" fillId="0" borderId="118" xfId="0" applyNumberFormat="1" applyBorder="1" applyAlignment="1"/>
    <xf numFmtId="0" fontId="32" fillId="0" borderId="0" xfId="0" applyFont="1" applyAlignment="1">
      <alignment horizontal="left" wrapText="1"/>
    </xf>
    <xf numFmtId="43" fontId="28" fillId="0" borderId="110" xfId="1" applyNumberFormat="1" applyFont="1" applyFill="1" applyBorder="1" applyAlignment="1"/>
    <xf numFmtId="43" fontId="0" fillId="0" borderId="110" xfId="0" applyNumberFormat="1" applyBorder="1" applyAlignment="1"/>
    <xf numFmtId="3" fontId="34" fillId="50" borderId="119" xfId="0" applyNumberFormat="1" applyFont="1" applyFill="1" applyBorder="1" applyAlignment="1"/>
    <xf numFmtId="0" fontId="35" fillId="50" borderId="13" xfId="0" applyFont="1" applyFill="1" applyBorder="1"/>
    <xf numFmtId="0" fontId="28" fillId="50" borderId="116" xfId="0" applyFont="1" applyFill="1" applyBorder="1" applyAlignment="1"/>
    <xf numFmtId="0" fontId="28" fillId="50" borderId="113" xfId="0" applyFont="1" applyFill="1" applyBorder="1" applyAlignment="1"/>
    <xf numFmtId="0" fontId="0" fillId="0" borderId="108" xfId="0" applyBorder="1" applyAlignment="1"/>
    <xf numFmtId="43" fontId="0" fillId="0" borderId="90" xfId="0" applyNumberFormat="1" applyBorder="1" applyAlignment="1"/>
    <xf numFmtId="0" fontId="29" fillId="0" borderId="113" xfId="0" applyFont="1" applyBorder="1" applyAlignment="1" applyProtection="1">
      <alignment horizontal="center" vertical="center"/>
      <protection hidden="1"/>
    </xf>
    <xf numFmtId="0" fontId="29" fillId="0" borderId="116" xfId="0" applyFont="1" applyBorder="1" applyAlignment="1" applyProtection="1">
      <alignment horizontal="center" vertical="center"/>
      <protection hidden="1"/>
    </xf>
    <xf numFmtId="0" fontId="29" fillId="0" borderId="101" xfId="0" applyFont="1" applyBorder="1" applyAlignment="1" applyProtection="1">
      <alignment horizontal="center" vertical="center"/>
      <protection hidden="1"/>
    </xf>
    <xf numFmtId="0" fontId="29" fillId="0" borderId="114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6" xfId="0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center" vertical="center" wrapText="1"/>
      <protection hidden="1"/>
    </xf>
    <xf numFmtId="0" fontId="26" fillId="0" borderId="97" xfId="0" applyFont="1" applyBorder="1" applyAlignment="1" applyProtection="1">
      <alignment horizontal="center" vertical="center" wrapText="1"/>
      <protection hidden="1"/>
    </xf>
    <xf numFmtId="0" fontId="0" fillId="0" borderId="131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7" fillId="0" borderId="131" xfId="0" applyFont="1" applyBorder="1" applyAlignment="1" applyProtection="1">
      <alignment horizontal="center" vertical="center" wrapText="1"/>
      <protection hidden="1"/>
    </xf>
    <xf numFmtId="0" fontId="27" fillId="0" borderId="132" xfId="0" applyFont="1" applyBorder="1" applyAlignment="1" applyProtection="1">
      <alignment horizontal="center" vertical="center" wrapText="1"/>
      <protection hidden="1"/>
    </xf>
    <xf numFmtId="0" fontId="27" fillId="0" borderId="125" xfId="0" applyFont="1" applyBorder="1" applyAlignment="1" applyProtection="1">
      <alignment horizontal="center" vertical="center" wrapText="1"/>
      <protection hidden="1"/>
    </xf>
    <xf numFmtId="0" fontId="27" fillId="0" borderId="127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9" fillId="0" borderId="6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29" fillId="0" borderId="112" xfId="0" applyFont="1" applyBorder="1" applyAlignment="1" applyProtection="1">
      <alignment horizontal="center" vertical="center"/>
      <protection hidden="1"/>
    </xf>
    <xf numFmtId="0" fontId="29" fillId="0" borderId="120" xfId="0" applyFont="1" applyBorder="1" applyAlignment="1" applyProtection="1">
      <alignment horizontal="center" vertical="center"/>
      <protection hidden="1"/>
    </xf>
    <xf numFmtId="43" fontId="28" fillId="55" borderId="106" xfId="1" applyNumberFormat="1" applyFont="1" applyFill="1" applyBorder="1" applyAlignment="1" applyProtection="1">
      <protection hidden="1"/>
    </xf>
    <xf numFmtId="43" fontId="28" fillId="55" borderId="107" xfId="1" applyNumberFormat="1" applyFont="1" applyFill="1" applyBorder="1" applyAlignment="1" applyProtection="1">
      <protection hidden="1"/>
    </xf>
    <xf numFmtId="43" fontId="28" fillId="55" borderId="13" xfId="1" applyNumberFormat="1" applyFont="1" applyFill="1" applyBorder="1" applyAlignment="1" applyProtection="1">
      <protection hidden="1"/>
    </xf>
    <xf numFmtId="43" fontId="28" fillId="55" borderId="15" xfId="1" applyNumberFormat="1" applyFont="1" applyFill="1" applyBorder="1" applyAlignment="1" applyProtection="1">
      <protection hidden="1"/>
    </xf>
    <xf numFmtId="0" fontId="28" fillId="0" borderId="109" xfId="0" applyFont="1" applyBorder="1" applyAlignment="1" applyProtection="1">
      <alignment horizontal="center" vertical="center" wrapText="1"/>
      <protection hidden="1"/>
    </xf>
    <xf numFmtId="0" fontId="28" fillId="0" borderId="110" xfId="0" applyFont="1" applyBorder="1" applyAlignment="1" applyProtection="1">
      <alignment horizontal="center" vertical="center" wrapText="1"/>
      <protection hidden="1"/>
    </xf>
    <xf numFmtId="0" fontId="28" fillId="0" borderId="111" xfId="0" applyFont="1" applyBorder="1" applyAlignment="1" applyProtection="1">
      <alignment horizontal="center" vertical="center" wrapText="1"/>
      <protection hidden="1"/>
    </xf>
    <xf numFmtId="43" fontId="28" fillId="55" borderId="53" xfId="1" applyNumberFormat="1" applyFont="1" applyFill="1" applyBorder="1" applyAlignment="1" applyProtection="1">
      <protection hidden="1"/>
    </xf>
    <xf numFmtId="0" fontId="30" fillId="0" borderId="119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141" xfId="0" applyFont="1" applyBorder="1" applyAlignment="1" applyProtection="1">
      <alignment horizontal="center"/>
      <protection hidden="1"/>
    </xf>
    <xf numFmtId="0" fontId="29" fillId="0" borderId="95" xfId="0" applyFont="1" applyBorder="1" applyAlignment="1" applyProtection="1">
      <alignment horizontal="center" vertical="center"/>
      <protection hidden="1"/>
    </xf>
    <xf numFmtId="0" fontId="29" fillId="0" borderId="99" xfId="0" applyFont="1" applyBorder="1" applyAlignment="1" applyProtection="1">
      <alignment horizontal="center" vertical="center"/>
      <protection hidden="1"/>
    </xf>
    <xf numFmtId="0" fontId="29" fillId="0" borderId="137" xfId="0" applyFont="1" applyBorder="1" applyAlignment="1" applyProtection="1">
      <alignment horizontal="center" vertical="center"/>
      <protection hidden="1"/>
    </xf>
    <xf numFmtId="0" fontId="28" fillId="0" borderId="133" xfId="0" applyFont="1" applyBorder="1" applyAlignment="1" applyProtection="1">
      <alignment horizontal="left" vertical="center"/>
      <protection hidden="1"/>
    </xf>
    <xf numFmtId="0" fontId="28" fillId="0" borderId="138" xfId="0" applyFont="1" applyBorder="1" applyAlignment="1" applyProtection="1">
      <alignment horizontal="left" vertical="center"/>
      <protection hidden="1"/>
    </xf>
    <xf numFmtId="0" fontId="28" fillId="0" borderId="133" xfId="0" applyFont="1" applyBorder="1" applyAlignment="1" applyProtection="1">
      <alignment horizontal="center" vertical="center" wrapText="1"/>
      <protection hidden="1"/>
    </xf>
    <xf numFmtId="0" fontId="28" fillId="0" borderId="138" xfId="0" applyFont="1" applyBorder="1" applyAlignment="1" applyProtection="1">
      <alignment horizontal="center" vertical="center" wrapText="1"/>
      <protection hidden="1"/>
    </xf>
    <xf numFmtId="0" fontId="2" fillId="0" borderId="134" xfId="0" applyFont="1" applyBorder="1" applyAlignment="1" applyProtection="1">
      <alignment horizontal="center"/>
      <protection hidden="1"/>
    </xf>
    <xf numFmtId="0" fontId="2" fillId="0" borderId="117" xfId="0" applyFont="1" applyBorder="1" applyAlignment="1" applyProtection="1">
      <alignment horizontal="center"/>
      <protection hidden="1"/>
    </xf>
    <xf numFmtId="0" fontId="2" fillId="0" borderId="135" xfId="0" applyFont="1" applyBorder="1" applyAlignment="1" applyProtection="1">
      <alignment horizontal="center"/>
      <protection hidden="1"/>
    </xf>
    <xf numFmtId="43" fontId="28" fillId="0" borderId="24" xfId="1" applyNumberFormat="1" applyFont="1" applyFill="1" applyBorder="1" applyAlignment="1" applyProtection="1">
      <protection hidden="1"/>
    </xf>
    <xf numFmtId="43" fontId="28" fillId="0" borderId="15" xfId="1" applyNumberFormat="1" applyFont="1" applyFill="1" applyBorder="1" applyAlignment="1" applyProtection="1">
      <protection hidden="1"/>
    </xf>
    <xf numFmtId="43" fontId="34" fillId="50" borderId="142" xfId="0" applyNumberFormat="1" applyFont="1" applyFill="1" applyBorder="1" applyAlignment="1" applyProtection="1">
      <protection hidden="1"/>
    </xf>
    <xf numFmtId="43" fontId="34" fillId="50" borderId="116" xfId="0" applyNumberFormat="1" applyFont="1" applyFill="1" applyBorder="1" applyAlignment="1" applyProtection="1">
      <protection hidden="1"/>
    </xf>
    <xf numFmtId="43" fontId="33" fillId="50" borderId="106" xfId="0" applyNumberFormat="1" applyFont="1" applyFill="1" applyBorder="1" applyAlignment="1" applyProtection="1">
      <protection hidden="1"/>
    </xf>
    <xf numFmtId="43" fontId="33" fillId="50" borderId="107" xfId="0" applyNumberFormat="1" applyFont="1" applyFill="1" applyBorder="1" applyAlignment="1" applyProtection="1">
      <protection hidden="1"/>
    </xf>
    <xf numFmtId="43" fontId="33" fillId="50" borderId="13" xfId="0" applyNumberFormat="1" applyFont="1" applyFill="1" applyBorder="1" applyAlignment="1" applyProtection="1">
      <protection hidden="1"/>
    </xf>
    <xf numFmtId="43" fontId="33" fillId="50" borderId="15" xfId="0" applyNumberFormat="1" applyFont="1" applyFill="1" applyBorder="1" applyAlignment="1" applyProtection="1">
      <protection hidden="1"/>
    </xf>
    <xf numFmtId="43" fontId="28" fillId="0" borderId="13" xfId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28" fillId="0" borderId="106" xfId="1" applyFont="1" applyFill="1" applyBorder="1" applyAlignment="1" applyProtection="1">
      <protection hidden="1"/>
    </xf>
    <xf numFmtId="43" fontId="0" fillId="0" borderId="107" xfId="0" applyNumberFormat="1" applyBorder="1" applyAlignment="1" applyProtection="1">
      <protection hidden="1"/>
    </xf>
    <xf numFmtId="43" fontId="33" fillId="50" borderId="53" xfId="0" applyNumberFormat="1" applyFont="1" applyFill="1" applyBorder="1" applyAlignment="1" applyProtection="1">
      <protection hidden="1"/>
    </xf>
    <xf numFmtId="3" fontId="34" fillId="50" borderId="38" xfId="0" applyNumberFormat="1" applyFont="1" applyFill="1" applyBorder="1" applyAlignment="1" applyProtection="1">
      <protection hidden="1"/>
    </xf>
    <xf numFmtId="0" fontId="35" fillId="50" borderId="14" xfId="0" applyFont="1" applyFill="1" applyBorder="1" applyProtection="1">
      <protection hidden="1"/>
    </xf>
    <xf numFmtId="0" fontId="28" fillId="50" borderId="95" xfId="0" applyFont="1" applyFill="1" applyBorder="1" applyAlignment="1" applyProtection="1">
      <protection hidden="1"/>
    </xf>
    <xf numFmtId="0" fontId="30" fillId="50" borderId="99" xfId="0" applyFont="1" applyFill="1" applyBorder="1" applyAlignment="1" applyProtection="1">
      <protection hidden="1"/>
    </xf>
    <xf numFmtId="3" fontId="33" fillId="55" borderId="29" xfId="0" applyNumberFormat="1" applyFont="1" applyFill="1" applyBorder="1" applyAlignment="1" applyProtection="1">
      <alignment vertical="center"/>
      <protection hidden="1"/>
    </xf>
    <xf numFmtId="0" fontId="0" fillId="55" borderId="144" xfId="0" applyFill="1" applyBorder="1" applyAlignment="1" applyProtection="1">
      <alignment vertical="center"/>
      <protection hidden="1"/>
    </xf>
    <xf numFmtId="43" fontId="0" fillId="0" borderId="53" xfId="0" applyNumberFormat="1" applyBorder="1" applyAlignment="1" applyProtection="1">
      <protection hidden="1"/>
    </xf>
    <xf numFmtId="0" fontId="40" fillId="2" borderId="0" xfId="2" applyFont="1" applyFill="1" applyAlignment="1">
      <alignment horizontal="left" vertical="center" indent="4"/>
    </xf>
    <xf numFmtId="0" fontId="41" fillId="2" borderId="10" xfId="2" applyFont="1" applyFill="1" applyBorder="1" applyAlignment="1">
      <alignment vertical="center"/>
    </xf>
    <xf numFmtId="0" fontId="44" fillId="2" borderId="1" xfId="3" applyFont="1" applyFill="1" applyBorder="1" applyAlignment="1">
      <alignment horizontal="center" vertical="center" wrapText="1"/>
    </xf>
    <xf numFmtId="0" fontId="39" fillId="2" borderId="1" xfId="2" applyFill="1" applyBorder="1" applyAlignment="1">
      <alignment horizontal="center" vertical="center"/>
    </xf>
    <xf numFmtId="0" fontId="44" fillId="2" borderId="1" xfId="2" applyFont="1" applyFill="1" applyBorder="1" applyAlignment="1">
      <alignment horizontal="center" vertical="center"/>
    </xf>
    <xf numFmtId="0" fontId="44" fillId="2" borderId="15" xfId="3" applyFont="1" applyFill="1" applyBorder="1" applyAlignment="1">
      <alignment horizontal="center" vertical="center" wrapText="1"/>
    </xf>
    <xf numFmtId="0" fontId="39" fillId="2" borderId="14" xfId="2" applyFill="1" applyBorder="1" applyAlignment="1">
      <alignment vertical="center"/>
    </xf>
    <xf numFmtId="0" fontId="39" fillId="2" borderId="13" xfId="2" applyFill="1" applyBorder="1" applyAlignment="1">
      <alignment vertical="center"/>
    </xf>
    <xf numFmtId="0" fontId="47" fillId="2" borderId="148" xfId="3" applyFont="1" applyFill="1" applyBorder="1" applyAlignment="1">
      <alignment horizontal="center" vertical="center"/>
    </xf>
    <xf numFmtId="0" fontId="39" fillId="2" borderId="148" xfId="2" applyFill="1" applyBorder="1" applyAlignment="1">
      <alignment horizontal="center" vertical="center"/>
    </xf>
    <xf numFmtId="0" fontId="41" fillId="2" borderId="148" xfId="2" applyFont="1" applyFill="1" applyBorder="1" applyAlignment="1">
      <alignment horizontal="center" vertical="center"/>
    </xf>
    <xf numFmtId="4" fontId="41" fillId="2" borderId="148" xfId="2" applyNumberFormat="1" applyFont="1" applyFill="1" applyBorder="1" applyAlignment="1">
      <alignment horizontal="right" vertical="center"/>
    </xf>
    <xf numFmtId="4" fontId="39" fillId="2" borderId="148" xfId="2" applyNumberFormat="1" applyFill="1" applyBorder="1" applyAlignment="1">
      <alignment horizontal="right" vertical="center"/>
    </xf>
    <xf numFmtId="4" fontId="41" fillId="2" borderId="148" xfId="3" applyNumberFormat="1" applyFont="1" applyFill="1" applyBorder="1" applyAlignment="1">
      <alignment horizontal="right" vertical="center"/>
    </xf>
    <xf numFmtId="0" fontId="47" fillId="2" borderId="149" xfId="3" applyFont="1" applyFill="1" applyBorder="1" applyAlignment="1">
      <alignment horizontal="center" vertical="center"/>
    </xf>
    <xf numFmtId="0" fontId="39" fillId="2" borderId="149" xfId="2" applyFill="1" applyBorder="1" applyAlignment="1">
      <alignment horizontal="center" vertical="center"/>
    </xf>
    <xf numFmtId="0" fontId="41" fillId="2" borderId="150" xfId="2" applyFont="1" applyFill="1" applyBorder="1" applyAlignment="1">
      <alignment horizontal="center" vertical="center"/>
    </xf>
    <xf numFmtId="0" fontId="41" fillId="2" borderId="151" xfId="2" applyFont="1" applyFill="1" applyBorder="1" applyAlignment="1">
      <alignment horizontal="center" vertical="center"/>
    </xf>
    <xf numFmtId="0" fontId="41" fillId="2" borderId="152" xfId="2" applyFont="1" applyFill="1" applyBorder="1" applyAlignment="1">
      <alignment horizontal="center" vertical="center"/>
    </xf>
    <xf numFmtId="0" fontId="41" fillId="2" borderId="149" xfId="2" applyFont="1" applyFill="1" applyBorder="1" applyAlignment="1">
      <alignment horizontal="center" vertical="center"/>
    </xf>
    <xf numFmtId="4" fontId="41" fillId="2" borderId="149" xfId="2" applyNumberFormat="1" applyFont="1" applyFill="1" applyBorder="1" applyAlignment="1">
      <alignment horizontal="right" vertical="center"/>
    </xf>
    <xf numFmtId="4" fontId="39" fillId="2" borderId="149" xfId="2" applyNumberFormat="1" applyFill="1" applyBorder="1" applyAlignment="1">
      <alignment horizontal="right" vertical="center"/>
    </xf>
    <xf numFmtId="4" fontId="41" fillId="2" borderId="149" xfId="3" applyNumberFormat="1" applyFont="1" applyFill="1" applyBorder="1" applyAlignment="1">
      <alignment horizontal="right" vertical="center"/>
    </xf>
    <xf numFmtId="0" fontId="44" fillId="2" borderId="15" xfId="2" applyFont="1" applyFill="1" applyBorder="1" applyAlignment="1">
      <alignment horizontal="center" vertical="center"/>
    </xf>
    <xf numFmtId="0" fontId="44" fillId="2" borderId="14" xfId="2" applyFont="1" applyFill="1" applyBorder="1" applyAlignment="1">
      <alignment horizontal="center" vertical="center"/>
    </xf>
    <xf numFmtId="0" fontId="44" fillId="2" borderId="13" xfId="2" applyFont="1" applyFill="1" applyBorder="1" applyAlignment="1">
      <alignment horizontal="center" vertical="center"/>
    </xf>
    <xf numFmtId="4" fontId="41" fillId="2" borderId="15" xfId="2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4" fontId="39" fillId="2" borderId="13" xfId="2" applyNumberFormat="1" applyFont="1" applyFill="1" applyBorder="1" applyAlignment="1">
      <alignment horizontal="right" vertical="center"/>
    </xf>
    <xf numFmtId="4" fontId="41" fillId="2" borderId="15" xfId="3" applyNumberFormat="1" applyFont="1" applyFill="1" applyBorder="1" applyAlignment="1">
      <alignment horizontal="right" vertical="center"/>
    </xf>
    <xf numFmtId="4" fontId="41" fillId="2" borderId="14" xfId="2" applyNumberFormat="1" applyFont="1" applyFill="1" applyBorder="1" applyAlignment="1">
      <alignment horizontal="right" vertical="center"/>
    </xf>
    <xf numFmtId="0" fontId="41" fillId="0" borderId="0" xfId="2" applyFont="1" applyAlignment="1">
      <alignment vertical="center"/>
    </xf>
    <xf numFmtId="0" fontId="47" fillId="2" borderId="153" xfId="3" applyFont="1" applyFill="1" applyBorder="1" applyAlignment="1">
      <alignment horizontal="center" vertical="center"/>
    </xf>
    <xf numFmtId="0" fontId="39" fillId="2" borderId="153" xfId="2" applyFill="1" applyBorder="1" applyAlignment="1">
      <alignment horizontal="center" vertical="center"/>
    </xf>
    <xf numFmtId="0" fontId="41" fillId="2" borderId="153" xfId="2" applyFont="1" applyFill="1" applyBorder="1" applyAlignment="1">
      <alignment horizontal="center" vertical="center"/>
    </xf>
    <xf numFmtId="4" fontId="41" fillId="2" borderId="153" xfId="2" applyNumberFormat="1" applyFont="1" applyFill="1" applyBorder="1" applyAlignment="1">
      <alignment horizontal="right" vertical="center"/>
    </xf>
    <xf numFmtId="4" fontId="39" fillId="2" borderId="153" xfId="2" applyNumberFormat="1" applyFill="1" applyBorder="1" applyAlignment="1">
      <alignment horizontal="right" vertical="center"/>
    </xf>
    <xf numFmtId="4" fontId="41" fillId="2" borderId="153" xfId="3" applyNumberFormat="1" applyFont="1" applyFill="1" applyBorder="1" applyAlignment="1">
      <alignment horizontal="right" vertical="center"/>
    </xf>
    <xf numFmtId="0" fontId="47" fillId="3" borderId="149" xfId="3" applyFont="1" applyFill="1" applyBorder="1" applyAlignment="1">
      <alignment horizontal="center" vertical="center"/>
    </xf>
    <xf numFmtId="0" fontId="39" fillId="3" borderId="149" xfId="2" applyFill="1" applyBorder="1" applyAlignment="1">
      <alignment horizontal="center" vertical="center"/>
    </xf>
    <xf numFmtId="0" fontId="41" fillId="3" borderId="149" xfId="2" applyFont="1" applyFill="1" applyBorder="1" applyAlignment="1">
      <alignment horizontal="center" vertical="center"/>
    </xf>
    <xf numFmtId="4" fontId="41" fillId="3" borderId="149" xfId="2" applyNumberFormat="1" applyFont="1" applyFill="1" applyBorder="1" applyAlignment="1">
      <alignment horizontal="right" vertical="center"/>
    </xf>
    <xf numFmtId="4" fontId="39" fillId="3" borderId="149" xfId="2" applyNumberFormat="1" applyFill="1" applyBorder="1" applyAlignment="1">
      <alignment horizontal="right" vertical="center"/>
    </xf>
    <xf numFmtId="4" fontId="41" fillId="3" borderId="149" xfId="3" applyNumberFormat="1" applyFont="1" applyFill="1" applyBorder="1" applyAlignment="1">
      <alignment horizontal="right" vertical="center"/>
    </xf>
    <xf numFmtId="0" fontId="41" fillId="3" borderId="150" xfId="2" applyFont="1" applyFill="1" applyBorder="1" applyAlignment="1">
      <alignment horizontal="center" vertical="center"/>
    </xf>
    <xf numFmtId="0" fontId="41" fillId="3" borderId="151" xfId="2" applyFont="1" applyFill="1" applyBorder="1" applyAlignment="1">
      <alignment horizontal="center" vertical="center"/>
    </xf>
    <xf numFmtId="0" fontId="41" fillId="3" borderId="152" xfId="2" applyFont="1" applyFill="1" applyBorder="1" applyAlignment="1">
      <alignment horizontal="center" vertical="center"/>
    </xf>
  </cellXfs>
  <cellStyles count="5">
    <cellStyle name="Dziesiętny 2" xfId="1"/>
    <cellStyle name="Dziesiętny 3" xfId="4"/>
    <cellStyle name="Normalny" xfId="0" builtinId="0"/>
    <cellStyle name="Normalny 2" xfId="2"/>
    <cellStyle name="Normalny_KZ-S" xfId="3"/>
  </cellStyles>
  <dxfs count="6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0066"/>
      <color rgb="FFFFFFCC"/>
      <color rgb="FFEEDDFF"/>
      <color rgb="FFCC99FF"/>
      <color rgb="FFFFCCFF"/>
      <color rgb="FFFFF3F3"/>
      <color rgb="FFEBF2DE"/>
      <color rgb="FFCDFFBD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n/Budzet/FN-118/2012/Bud&#380;et/Projekt%20bud&#380;etu/Wieloletnia%20Prognoza%20Finansowa/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148"/>
  <sheetViews>
    <sheetView zoomScale="80" zoomScaleNormal="80" zoomScaleSheetLayoutView="70" workbookViewId="0">
      <pane xSplit="3" ySplit="5" topLeftCell="M90" activePane="bottomRight" state="frozen"/>
      <selection activeCell="AV47" sqref="AV47"/>
      <selection pane="topRight" activeCell="AV47" sqref="AV47"/>
      <selection pane="bottomLeft" activeCell="AV47" sqref="AV47"/>
      <selection pane="bottomRight" activeCell="O1" sqref="O1"/>
    </sheetView>
  </sheetViews>
  <sheetFormatPr defaultColWidth="0" defaultRowHeight="12.75" zeroHeight="1"/>
  <cols>
    <col min="1" max="1" width="1.7109375" style="62" customWidth="1"/>
    <col min="2" max="2" width="6.5703125" style="1" customWidth="1"/>
    <col min="3" max="3" width="48.28515625" style="10" customWidth="1"/>
    <col min="4" max="5" width="19.7109375" style="10" customWidth="1"/>
    <col min="6" max="6" width="19.7109375" style="27" customWidth="1"/>
    <col min="7" max="7" width="28" style="1" customWidth="1"/>
    <col min="8" max="20" width="19.7109375" style="1" customWidth="1"/>
    <col min="21" max="27" width="19.7109375" style="1" hidden="1" customWidth="1"/>
    <col min="28" max="28" width="1.28515625" style="62" customWidth="1"/>
    <col min="29" max="259" width="9.140625" style="57" hidden="1" customWidth="1"/>
    <col min="260" max="16384" width="9.140625" style="57" hidden="1"/>
  </cols>
  <sheetData>
    <row r="1" spans="1:28" s="171" customFormat="1" ht="109.5" customHeight="1">
      <c r="A1" s="167"/>
      <c r="B1" s="168"/>
      <c r="C1" s="169"/>
      <c r="D1" s="169"/>
      <c r="E1" s="169"/>
      <c r="F1" s="170"/>
      <c r="G1" s="168"/>
      <c r="H1" s="168"/>
      <c r="I1" s="168"/>
      <c r="J1" s="168"/>
      <c r="K1" s="168"/>
      <c r="L1" s="168"/>
      <c r="M1" s="168"/>
      <c r="N1" s="168"/>
      <c r="O1" s="168"/>
      <c r="P1" s="928" t="s">
        <v>397</v>
      </c>
      <c r="Q1" s="928"/>
      <c r="R1" s="928"/>
      <c r="S1" s="168"/>
      <c r="T1" s="168"/>
      <c r="U1" s="168"/>
      <c r="V1" s="168"/>
      <c r="W1" s="168"/>
      <c r="X1" s="168"/>
      <c r="Y1" s="168"/>
      <c r="Z1" s="168"/>
      <c r="AA1" s="168"/>
      <c r="AB1" s="167"/>
    </row>
    <row r="2" spans="1:28" s="171" customFormat="1" ht="35.25" customHeight="1">
      <c r="A2" s="167"/>
      <c r="B2" s="172"/>
      <c r="C2" s="925" t="s">
        <v>0</v>
      </c>
      <c r="D2" s="926" t="s">
        <v>130</v>
      </c>
      <c r="E2" s="926" t="s">
        <v>130</v>
      </c>
      <c r="F2" s="926" t="s">
        <v>121</v>
      </c>
      <c r="G2" s="929" t="s">
        <v>1</v>
      </c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1"/>
      <c r="AA2" s="173" t="s">
        <v>1</v>
      </c>
      <c r="AB2" s="167"/>
    </row>
    <row r="3" spans="1:28" s="171" customFormat="1" ht="24" customHeight="1">
      <c r="A3" s="167"/>
      <c r="B3" s="174"/>
      <c r="C3" s="925"/>
      <c r="D3" s="926"/>
      <c r="E3" s="926"/>
      <c r="F3" s="926"/>
      <c r="G3" s="932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4"/>
      <c r="AA3" s="923" t="s">
        <v>36</v>
      </c>
      <c r="AB3" s="167"/>
    </row>
    <row r="4" spans="1:28" s="171" customFormat="1">
      <c r="A4" s="167"/>
      <c r="B4" s="175"/>
      <c r="C4" s="925"/>
      <c r="D4" s="926"/>
      <c r="E4" s="926"/>
      <c r="F4" s="926"/>
      <c r="G4" s="935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7"/>
      <c r="AA4" s="924"/>
      <c r="AB4" s="167"/>
    </row>
    <row r="5" spans="1:28" s="171" customFormat="1">
      <c r="A5" s="167"/>
      <c r="B5" s="168"/>
      <c r="C5" s="176"/>
      <c r="D5" s="176">
        <v>2009</v>
      </c>
      <c r="E5" s="176">
        <v>2010</v>
      </c>
      <c r="F5" s="177">
        <v>2011</v>
      </c>
      <c r="G5" s="178">
        <v>2012</v>
      </c>
      <c r="H5" s="178">
        <f>G5+1</f>
        <v>2013</v>
      </c>
      <c r="I5" s="178">
        <f t="shared" ref="I5:Z5" si="0">H5+1</f>
        <v>2014</v>
      </c>
      <c r="J5" s="178">
        <f t="shared" si="0"/>
        <v>2015</v>
      </c>
      <c r="K5" s="178">
        <f t="shared" si="0"/>
        <v>2016</v>
      </c>
      <c r="L5" s="178">
        <f t="shared" si="0"/>
        <v>2017</v>
      </c>
      <c r="M5" s="178">
        <f t="shared" si="0"/>
        <v>2018</v>
      </c>
      <c r="N5" s="178">
        <f t="shared" si="0"/>
        <v>2019</v>
      </c>
      <c r="O5" s="178">
        <f t="shared" si="0"/>
        <v>2020</v>
      </c>
      <c r="P5" s="178">
        <f t="shared" si="0"/>
        <v>2021</v>
      </c>
      <c r="Q5" s="178">
        <f t="shared" si="0"/>
        <v>2022</v>
      </c>
      <c r="R5" s="178">
        <f t="shared" si="0"/>
        <v>2023</v>
      </c>
      <c r="S5" s="178">
        <f t="shared" si="0"/>
        <v>2024</v>
      </c>
      <c r="T5" s="178">
        <f t="shared" si="0"/>
        <v>2025</v>
      </c>
      <c r="U5" s="178">
        <f t="shared" si="0"/>
        <v>2026</v>
      </c>
      <c r="V5" s="178">
        <f t="shared" si="0"/>
        <v>2027</v>
      </c>
      <c r="W5" s="178">
        <f t="shared" si="0"/>
        <v>2028</v>
      </c>
      <c r="X5" s="178">
        <f t="shared" si="0"/>
        <v>2029</v>
      </c>
      <c r="Y5" s="178">
        <f t="shared" si="0"/>
        <v>2030</v>
      </c>
      <c r="Z5" s="178">
        <f t="shared" si="0"/>
        <v>2031</v>
      </c>
      <c r="AA5" s="178" t="s">
        <v>2</v>
      </c>
      <c r="AB5" s="167"/>
    </row>
    <row r="6" spans="1:28" s="182" customFormat="1" ht="13.5" thickBot="1">
      <c r="A6" s="167"/>
      <c r="B6" s="179"/>
      <c r="C6" s="180"/>
      <c r="D6" s="180"/>
      <c r="E6" s="180"/>
      <c r="F6" s="181"/>
      <c r="G6" s="203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67"/>
    </row>
    <row r="7" spans="1:28" s="166" customFormat="1" ht="25.5" customHeight="1" thickTop="1">
      <c r="A7" s="159"/>
      <c r="B7" s="183" t="s">
        <v>55</v>
      </c>
      <c r="C7" s="184" t="s">
        <v>61</v>
      </c>
      <c r="D7" s="185">
        <f t="shared" ref="D7:E7" si="1">D11+D23</f>
        <v>131693409.28</v>
      </c>
      <c r="E7" s="185">
        <f t="shared" si="1"/>
        <v>134567387.50999999</v>
      </c>
      <c r="F7" s="197">
        <f t="shared" ref="F7:AA7" si="2">F11+F23</f>
        <v>156826657</v>
      </c>
      <c r="G7" s="204">
        <f t="shared" si="2"/>
        <v>164025871</v>
      </c>
      <c r="H7" s="200">
        <f t="shared" si="2"/>
        <v>194037655</v>
      </c>
      <c r="I7" s="185">
        <f t="shared" si="2"/>
        <v>188169366</v>
      </c>
      <c r="J7" s="185">
        <f t="shared" si="2"/>
        <v>164689399</v>
      </c>
      <c r="K7" s="185">
        <f t="shared" si="2"/>
        <v>171800000</v>
      </c>
      <c r="L7" s="185">
        <f t="shared" si="2"/>
        <v>176700000</v>
      </c>
      <c r="M7" s="185">
        <f t="shared" si="2"/>
        <v>178200000</v>
      </c>
      <c r="N7" s="185">
        <f t="shared" si="2"/>
        <v>180700000</v>
      </c>
      <c r="O7" s="185">
        <f t="shared" si="2"/>
        <v>184300000</v>
      </c>
      <c r="P7" s="185">
        <f t="shared" si="2"/>
        <v>187900000</v>
      </c>
      <c r="Q7" s="185">
        <f t="shared" si="2"/>
        <v>190600000</v>
      </c>
      <c r="R7" s="185">
        <f t="shared" si="2"/>
        <v>195200000</v>
      </c>
      <c r="S7" s="185">
        <f t="shared" si="2"/>
        <v>199900000</v>
      </c>
      <c r="T7" s="185">
        <f t="shared" si="2"/>
        <v>200800000</v>
      </c>
      <c r="U7" s="185">
        <f t="shared" si="2"/>
        <v>204700000</v>
      </c>
      <c r="V7" s="185">
        <f t="shared" si="2"/>
        <v>207700000</v>
      </c>
      <c r="W7" s="185">
        <f t="shared" si="2"/>
        <v>211800000</v>
      </c>
      <c r="X7" s="185">
        <f t="shared" si="2"/>
        <v>215000000</v>
      </c>
      <c r="Y7" s="185">
        <f t="shared" si="2"/>
        <v>219200000</v>
      </c>
      <c r="Z7" s="185">
        <f t="shared" si="2"/>
        <v>223500000</v>
      </c>
      <c r="AA7" s="185">
        <f t="shared" si="2"/>
        <v>227900000</v>
      </c>
      <c r="AB7" s="159"/>
    </row>
    <row r="8" spans="1:28" s="166" customFormat="1" ht="25.5" customHeight="1">
      <c r="A8" s="159"/>
      <c r="B8" s="183" t="s">
        <v>56</v>
      </c>
      <c r="C8" s="186" t="s">
        <v>62</v>
      </c>
      <c r="D8" s="187">
        <f t="shared" ref="D8:E8" si="3">D12+D25</f>
        <v>137052342.58000001</v>
      </c>
      <c r="E8" s="187">
        <f t="shared" si="3"/>
        <v>144296202.38</v>
      </c>
      <c r="F8" s="198">
        <f t="shared" ref="F8:AA8" si="4">F12+F25</f>
        <v>163224190</v>
      </c>
      <c r="G8" s="205">
        <f t="shared" si="4"/>
        <v>166601062</v>
      </c>
      <c r="H8" s="201">
        <f t="shared" si="4"/>
        <v>190394300</v>
      </c>
      <c r="I8" s="187">
        <f t="shared" si="4"/>
        <v>185219395</v>
      </c>
      <c r="J8" s="187">
        <f t="shared" si="4"/>
        <v>159600000</v>
      </c>
      <c r="K8" s="187">
        <f t="shared" si="4"/>
        <v>165100000</v>
      </c>
      <c r="L8" s="187">
        <f t="shared" si="4"/>
        <v>171300000</v>
      </c>
      <c r="M8" s="187">
        <f t="shared" si="4"/>
        <v>173300000</v>
      </c>
      <c r="N8" s="187">
        <f t="shared" si="4"/>
        <v>175700000</v>
      </c>
      <c r="O8" s="187">
        <f t="shared" si="4"/>
        <v>179200000</v>
      </c>
      <c r="P8" s="187">
        <f t="shared" si="4"/>
        <v>185300000</v>
      </c>
      <c r="Q8" s="187">
        <f t="shared" si="4"/>
        <v>188729890</v>
      </c>
      <c r="R8" s="187">
        <f t="shared" si="4"/>
        <v>194911592</v>
      </c>
      <c r="S8" s="187">
        <f t="shared" si="4"/>
        <v>197384824</v>
      </c>
      <c r="T8" s="187">
        <f t="shared" si="4"/>
        <v>200745447</v>
      </c>
      <c r="U8" s="187">
        <f t="shared" si="4"/>
        <v>207200000</v>
      </c>
      <c r="V8" s="187">
        <f t="shared" si="4"/>
        <v>210300000</v>
      </c>
      <c r="W8" s="187">
        <f t="shared" si="4"/>
        <v>214400000</v>
      </c>
      <c r="X8" s="187">
        <f t="shared" si="4"/>
        <v>217600000</v>
      </c>
      <c r="Y8" s="187">
        <f t="shared" si="4"/>
        <v>221900000</v>
      </c>
      <c r="Z8" s="187">
        <f t="shared" si="4"/>
        <v>226300000</v>
      </c>
      <c r="AA8" s="187">
        <f t="shared" si="4"/>
        <v>231800000</v>
      </c>
      <c r="AB8" s="159"/>
    </row>
    <row r="9" spans="1:28" s="166" customFormat="1" ht="25.5" customHeight="1" thickBot="1">
      <c r="A9" s="159"/>
      <c r="B9" s="188" t="s">
        <v>57</v>
      </c>
      <c r="C9" s="189" t="s">
        <v>63</v>
      </c>
      <c r="D9" s="190">
        <f>D7-D8</f>
        <v>-5358933.3000000119</v>
      </c>
      <c r="E9" s="190">
        <f>E7-E8</f>
        <v>-9728814.8700000048</v>
      </c>
      <c r="F9" s="199">
        <f>F7-F8</f>
        <v>-6397533</v>
      </c>
      <c r="G9" s="206">
        <f t="shared" ref="G9:AA9" si="5">G7-G8</f>
        <v>-2575191</v>
      </c>
      <c r="H9" s="202">
        <f t="shared" si="5"/>
        <v>3643355</v>
      </c>
      <c r="I9" s="190">
        <f t="shared" si="5"/>
        <v>2949971</v>
      </c>
      <c r="J9" s="190">
        <f t="shared" si="5"/>
        <v>5089399</v>
      </c>
      <c r="K9" s="190">
        <f t="shared" si="5"/>
        <v>6700000</v>
      </c>
      <c r="L9" s="190">
        <f t="shared" si="5"/>
        <v>5400000</v>
      </c>
      <c r="M9" s="190">
        <f t="shared" si="5"/>
        <v>4900000</v>
      </c>
      <c r="N9" s="190">
        <f t="shared" si="5"/>
        <v>5000000</v>
      </c>
      <c r="O9" s="190">
        <f t="shared" si="5"/>
        <v>5100000</v>
      </c>
      <c r="P9" s="190">
        <f t="shared" si="5"/>
        <v>2600000</v>
      </c>
      <c r="Q9" s="190">
        <f t="shared" si="5"/>
        <v>1870110</v>
      </c>
      <c r="R9" s="190">
        <f t="shared" si="5"/>
        <v>288408</v>
      </c>
      <c r="S9" s="190">
        <f t="shared" si="5"/>
        <v>2515176</v>
      </c>
      <c r="T9" s="190">
        <f t="shared" si="5"/>
        <v>54553</v>
      </c>
      <c r="U9" s="190">
        <f t="shared" si="5"/>
        <v>-2500000</v>
      </c>
      <c r="V9" s="190">
        <f t="shared" si="5"/>
        <v>-2600000</v>
      </c>
      <c r="W9" s="190">
        <f t="shared" si="5"/>
        <v>-2600000</v>
      </c>
      <c r="X9" s="190">
        <f t="shared" si="5"/>
        <v>-2600000</v>
      </c>
      <c r="Y9" s="190">
        <f t="shared" si="5"/>
        <v>-2700000</v>
      </c>
      <c r="Z9" s="190">
        <f t="shared" si="5"/>
        <v>-2800000</v>
      </c>
      <c r="AA9" s="190">
        <f t="shared" si="5"/>
        <v>-3900000</v>
      </c>
      <c r="AB9" s="159"/>
    </row>
    <row r="10" spans="1:28" s="58" customFormat="1" ht="9.9499999999999993" customHeight="1" thickTop="1" thickBot="1">
      <c r="A10" s="62"/>
      <c r="B10" s="18"/>
      <c r="C10" s="19"/>
      <c r="D10" s="192"/>
      <c r="E10" s="192"/>
      <c r="F10" s="181"/>
      <c r="G10" s="21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62"/>
    </row>
    <row r="11" spans="1:28" s="59" customFormat="1" ht="25.5" customHeight="1" thickTop="1">
      <c r="A11" s="63"/>
      <c r="B11" s="78" t="s">
        <v>37</v>
      </c>
      <c r="C11" s="47" t="s">
        <v>127</v>
      </c>
      <c r="D11" s="193">
        <v>124970449.63</v>
      </c>
      <c r="E11" s="193">
        <v>129769143.02</v>
      </c>
      <c r="F11" s="207">
        <v>139617113</v>
      </c>
      <c r="G11" s="215">
        <v>143881978</v>
      </c>
      <c r="H11" s="121">
        <v>149100000</v>
      </c>
      <c r="I11" s="29">
        <v>153500000</v>
      </c>
      <c r="J11" s="29">
        <v>158100000</v>
      </c>
      <c r="K11" s="29">
        <v>162800000</v>
      </c>
      <c r="L11" s="29">
        <v>167700000</v>
      </c>
      <c r="M11" s="29">
        <f>ROUND((L11+L11*1.5%),-5)</f>
        <v>170200000</v>
      </c>
      <c r="N11" s="29">
        <v>173700000</v>
      </c>
      <c r="O11" s="29">
        <v>177300000</v>
      </c>
      <c r="P11" s="29">
        <f>ROUND((O11+O11*2.05%),-5)</f>
        <v>180900000</v>
      </c>
      <c r="Q11" s="29">
        <v>184600000</v>
      </c>
      <c r="R11" s="29">
        <v>189200000</v>
      </c>
      <c r="S11" s="29">
        <v>193900000</v>
      </c>
      <c r="T11" s="29">
        <v>195800000</v>
      </c>
      <c r="U11" s="29">
        <f t="shared" ref="U11" si="6">ROUND((T11+T11*2%),-5)</f>
        <v>199700000</v>
      </c>
      <c r="V11" s="29">
        <f t="shared" ref="V11" si="7">ROUND((U11+U11*2%),-5)</f>
        <v>203700000</v>
      </c>
      <c r="W11" s="29">
        <f t="shared" ref="W11" si="8">ROUND((V11+V11*2%),-5)</f>
        <v>207800000</v>
      </c>
      <c r="X11" s="29">
        <f t="shared" ref="X11" si="9">ROUND((W11+W11*2%),-5)</f>
        <v>212000000</v>
      </c>
      <c r="Y11" s="29">
        <f t="shared" ref="Y11" si="10">ROUND((X11+X11*2%),-5)</f>
        <v>216200000</v>
      </c>
      <c r="Z11" s="29">
        <f t="shared" ref="Z11" si="11">ROUND((Y11+Y11*2%),-5)</f>
        <v>220500000</v>
      </c>
      <c r="AA11" s="29">
        <f t="shared" ref="AA11" si="12">ROUND((Z11+Z11*2%),-5)</f>
        <v>224900000</v>
      </c>
      <c r="AB11" s="63"/>
    </row>
    <row r="12" spans="1:28" s="59" customFormat="1" ht="25.5" customHeight="1">
      <c r="A12" s="63"/>
      <c r="B12" s="79" t="s">
        <v>38</v>
      </c>
      <c r="C12" s="7" t="s">
        <v>128</v>
      </c>
      <c r="D12" s="194">
        <v>126798813.76000001</v>
      </c>
      <c r="E12" s="194">
        <v>135215206.53999999</v>
      </c>
      <c r="F12" s="208">
        <v>139835646</v>
      </c>
      <c r="G12" s="216">
        <v>143805066</v>
      </c>
      <c r="H12" s="122">
        <v>142600000</v>
      </c>
      <c r="I12" s="30">
        <v>147200000</v>
      </c>
      <c r="J12" s="30">
        <v>151600000</v>
      </c>
      <c r="K12" s="30">
        <v>156100000</v>
      </c>
      <c r="L12" s="30">
        <v>162300000</v>
      </c>
      <c r="M12" s="30">
        <f>ROUND((L12+L12*1.85%),-5)</f>
        <v>165300000</v>
      </c>
      <c r="N12" s="30">
        <f t="shared" ref="N12:O12" si="13">ROUND((M12+M12*2.05%),-5)</f>
        <v>168700000</v>
      </c>
      <c r="O12" s="30">
        <f t="shared" si="13"/>
        <v>172200000</v>
      </c>
      <c r="P12" s="30">
        <v>177400000</v>
      </c>
      <c r="Q12" s="30">
        <v>181829890</v>
      </c>
      <c r="R12" s="30">
        <v>185500000</v>
      </c>
      <c r="S12" s="30">
        <f t="shared" ref="S12" si="14">ROUND((R12+R12*2.05%),-5)</f>
        <v>189300000</v>
      </c>
      <c r="T12" s="30">
        <v>194200000</v>
      </c>
      <c r="U12" s="30">
        <f t="shared" ref="U12:AA12" si="15">ROUND((T12+T12*2.05%),-5)</f>
        <v>198200000</v>
      </c>
      <c r="V12" s="30">
        <f t="shared" si="15"/>
        <v>202300000</v>
      </c>
      <c r="W12" s="30">
        <f t="shared" si="15"/>
        <v>206400000</v>
      </c>
      <c r="X12" s="30">
        <f t="shared" si="15"/>
        <v>210600000</v>
      </c>
      <c r="Y12" s="30">
        <f t="shared" si="15"/>
        <v>214900000</v>
      </c>
      <c r="Z12" s="30">
        <f t="shared" si="15"/>
        <v>219300000</v>
      </c>
      <c r="AA12" s="30">
        <f t="shared" si="15"/>
        <v>223800000</v>
      </c>
      <c r="AB12" s="63"/>
    </row>
    <row r="13" spans="1:28" s="59" customFormat="1" ht="25.5" customHeight="1">
      <c r="A13" s="63"/>
      <c r="B13" s="80" t="s">
        <v>39</v>
      </c>
      <c r="C13" s="69" t="s">
        <v>48</v>
      </c>
      <c r="D13" s="195"/>
      <c r="E13" s="195"/>
      <c r="F13" s="209">
        <v>67396083</v>
      </c>
      <c r="G13" s="217">
        <v>66701283</v>
      </c>
      <c r="H13" s="195">
        <f t="shared" ref="H13:R13" si="16">INT(G13+(G13*3%))</f>
        <v>68702321</v>
      </c>
      <c r="I13" s="165">
        <f t="shared" si="16"/>
        <v>70763390</v>
      </c>
      <c r="J13" s="165">
        <f t="shared" si="16"/>
        <v>72886291</v>
      </c>
      <c r="K13" s="165">
        <f t="shared" si="16"/>
        <v>75072879</v>
      </c>
      <c r="L13" s="165">
        <f t="shared" si="16"/>
        <v>77325065</v>
      </c>
      <c r="M13" s="165">
        <f t="shared" si="16"/>
        <v>79644816</v>
      </c>
      <c r="N13" s="165">
        <f t="shared" si="16"/>
        <v>82034160</v>
      </c>
      <c r="O13" s="165">
        <f t="shared" si="16"/>
        <v>84495184</v>
      </c>
      <c r="P13" s="165">
        <f t="shared" si="16"/>
        <v>87030039</v>
      </c>
      <c r="Q13" s="165">
        <f t="shared" si="16"/>
        <v>89640940</v>
      </c>
      <c r="R13" s="165">
        <f t="shared" si="16"/>
        <v>92330168</v>
      </c>
      <c r="S13" s="43">
        <f t="shared" ref="S13:AA13" si="17">INT(R13+(R13*1%))</f>
        <v>93253469</v>
      </c>
      <c r="T13" s="43">
        <f t="shared" si="17"/>
        <v>94186003</v>
      </c>
      <c r="U13" s="43">
        <f t="shared" si="17"/>
        <v>95127863</v>
      </c>
      <c r="V13" s="43">
        <f t="shared" si="17"/>
        <v>96079141</v>
      </c>
      <c r="W13" s="43">
        <f t="shared" si="17"/>
        <v>97039932</v>
      </c>
      <c r="X13" s="43">
        <f t="shared" si="17"/>
        <v>98010331</v>
      </c>
      <c r="Y13" s="43">
        <f t="shared" si="17"/>
        <v>98990434</v>
      </c>
      <c r="Z13" s="43">
        <f t="shared" si="17"/>
        <v>99980338</v>
      </c>
      <c r="AA13" s="43">
        <f t="shared" si="17"/>
        <v>100980141</v>
      </c>
      <c r="AB13" s="63"/>
    </row>
    <row r="14" spans="1:28" s="59" customFormat="1" ht="25.5" customHeight="1">
      <c r="A14" s="63"/>
      <c r="B14" s="80" t="s">
        <v>40</v>
      </c>
      <c r="C14" s="69" t="s">
        <v>47</v>
      </c>
      <c r="D14" s="195"/>
      <c r="E14" s="195"/>
      <c r="F14" s="209">
        <v>11467793</v>
      </c>
      <c r="G14" s="217">
        <v>12272472</v>
      </c>
      <c r="H14" s="195">
        <f t="shared" ref="H14:R14" si="18">INT(G14+(G14*3%))</f>
        <v>12640646</v>
      </c>
      <c r="I14" s="165">
        <f t="shared" si="18"/>
        <v>13019865</v>
      </c>
      <c r="J14" s="165">
        <f t="shared" si="18"/>
        <v>13410460</v>
      </c>
      <c r="K14" s="165">
        <f t="shared" si="18"/>
        <v>13812773</v>
      </c>
      <c r="L14" s="165">
        <f t="shared" si="18"/>
        <v>14227156</v>
      </c>
      <c r="M14" s="165">
        <f t="shared" si="18"/>
        <v>14653970</v>
      </c>
      <c r="N14" s="165">
        <f t="shared" si="18"/>
        <v>15093589</v>
      </c>
      <c r="O14" s="165">
        <f t="shared" si="18"/>
        <v>15546396</v>
      </c>
      <c r="P14" s="165">
        <f t="shared" si="18"/>
        <v>16012787</v>
      </c>
      <c r="Q14" s="165">
        <f t="shared" si="18"/>
        <v>16493170</v>
      </c>
      <c r="R14" s="165">
        <f t="shared" si="18"/>
        <v>16987965</v>
      </c>
      <c r="S14" s="43">
        <f t="shared" ref="S14:AA14" si="19">INT(R14+(R14*1%))</f>
        <v>17157844</v>
      </c>
      <c r="T14" s="43">
        <f t="shared" si="19"/>
        <v>17329422</v>
      </c>
      <c r="U14" s="43">
        <f t="shared" si="19"/>
        <v>17502716</v>
      </c>
      <c r="V14" s="43">
        <f t="shared" si="19"/>
        <v>17677743</v>
      </c>
      <c r="W14" s="43">
        <f t="shared" si="19"/>
        <v>17854520</v>
      </c>
      <c r="X14" s="43">
        <f t="shared" si="19"/>
        <v>18033065</v>
      </c>
      <c r="Y14" s="43">
        <f t="shared" si="19"/>
        <v>18213395</v>
      </c>
      <c r="Z14" s="43">
        <f t="shared" si="19"/>
        <v>18395528</v>
      </c>
      <c r="AA14" s="43">
        <f t="shared" si="19"/>
        <v>18579483</v>
      </c>
      <c r="AB14" s="63"/>
    </row>
    <row r="15" spans="1:28" s="60" customFormat="1" ht="37.5" customHeight="1">
      <c r="A15" s="64"/>
      <c r="B15" s="81" t="s">
        <v>99</v>
      </c>
      <c r="C15" s="70" t="s">
        <v>100</v>
      </c>
      <c r="D15" s="196"/>
      <c r="E15" s="196"/>
      <c r="F15" s="210">
        <v>8103300</v>
      </c>
      <c r="G15" s="218">
        <v>9213900</v>
      </c>
      <c r="H15" s="212">
        <f>INT(G15+(G15*3%))</f>
        <v>9490317</v>
      </c>
      <c r="I15" s="191">
        <f t="shared" ref="I15:R15" si="20">INT(H15+(H15*3%))</f>
        <v>9775026</v>
      </c>
      <c r="J15" s="191">
        <f t="shared" si="20"/>
        <v>10068276</v>
      </c>
      <c r="K15" s="191">
        <f t="shared" si="20"/>
        <v>10370324</v>
      </c>
      <c r="L15" s="191">
        <f t="shared" si="20"/>
        <v>10681433</v>
      </c>
      <c r="M15" s="191">
        <f t="shared" si="20"/>
        <v>11001875</v>
      </c>
      <c r="N15" s="191">
        <f t="shared" si="20"/>
        <v>11331931</v>
      </c>
      <c r="O15" s="191">
        <f t="shared" si="20"/>
        <v>11671888</v>
      </c>
      <c r="P15" s="191">
        <f t="shared" si="20"/>
        <v>12022044</v>
      </c>
      <c r="Q15" s="191">
        <f t="shared" si="20"/>
        <v>12382705</v>
      </c>
      <c r="R15" s="191">
        <f t="shared" si="20"/>
        <v>12754186</v>
      </c>
      <c r="S15" s="71">
        <f t="shared" ref="S15:AA15" si="21">INT(R15+(R15*1%))</f>
        <v>12881727</v>
      </c>
      <c r="T15" s="71">
        <f t="shared" si="21"/>
        <v>13010544</v>
      </c>
      <c r="U15" s="71">
        <f t="shared" si="21"/>
        <v>13140649</v>
      </c>
      <c r="V15" s="71">
        <f t="shared" si="21"/>
        <v>13272055</v>
      </c>
      <c r="W15" s="71">
        <f t="shared" si="21"/>
        <v>13404775</v>
      </c>
      <c r="X15" s="71">
        <f t="shared" si="21"/>
        <v>13538822</v>
      </c>
      <c r="Y15" s="71">
        <f t="shared" si="21"/>
        <v>13674210</v>
      </c>
      <c r="Z15" s="71">
        <f t="shared" si="21"/>
        <v>13810952</v>
      </c>
      <c r="AA15" s="71">
        <f t="shared" si="21"/>
        <v>13949061</v>
      </c>
      <c r="AB15" s="64"/>
    </row>
    <row r="16" spans="1:28" s="59" customFormat="1" ht="25.5">
      <c r="A16" s="63"/>
      <c r="B16" s="80" t="s">
        <v>41</v>
      </c>
      <c r="C16" s="69" t="s">
        <v>122</v>
      </c>
      <c r="D16" s="195"/>
      <c r="E16" s="195"/>
      <c r="F16" s="209">
        <v>1727147</v>
      </c>
      <c r="G16" s="217">
        <f>'Przedsięwzięcia - bierzące'!P128</f>
        <v>4770404</v>
      </c>
      <c r="H16" s="195">
        <f>'Przedsięwzięcia - bierzące'!Q128</f>
        <v>3993322</v>
      </c>
      <c r="I16" s="165">
        <f>'Przedsięwzięcia - bierzące'!R128</f>
        <v>0</v>
      </c>
      <c r="J16" s="165"/>
      <c r="K16" s="165"/>
      <c r="L16" s="165"/>
      <c r="M16" s="165"/>
      <c r="N16" s="165"/>
      <c r="O16" s="165"/>
      <c r="P16" s="165"/>
      <c r="Q16" s="165"/>
      <c r="R16" s="165"/>
      <c r="S16" s="43"/>
      <c r="T16" s="43"/>
      <c r="U16" s="43"/>
      <c r="V16" s="43"/>
      <c r="W16" s="43"/>
      <c r="X16" s="43"/>
      <c r="Y16" s="43"/>
      <c r="Z16" s="43"/>
      <c r="AA16" s="43"/>
      <c r="AB16" s="63"/>
    </row>
    <row r="17" spans="1:28" s="166" customFormat="1" ht="25.5" customHeight="1">
      <c r="A17" s="159"/>
      <c r="B17" s="160" t="s">
        <v>42</v>
      </c>
      <c r="C17" s="161" t="s">
        <v>101</v>
      </c>
      <c r="D17" s="162"/>
      <c r="E17" s="162"/>
      <c r="F17" s="211">
        <v>3405000</v>
      </c>
      <c r="G17" s="219">
        <f>G18</f>
        <v>4444852.6399999997</v>
      </c>
      <c r="H17" s="213">
        <f t="shared" ref="H17:T17" si="22">H18</f>
        <v>4675138.42</v>
      </c>
      <c r="I17" s="164">
        <f t="shared" si="22"/>
        <v>4693844.59</v>
      </c>
      <c r="J17" s="164">
        <f t="shared" si="22"/>
        <v>4588744.07</v>
      </c>
      <c r="K17" s="164">
        <f t="shared" si="22"/>
        <v>4264504.0999999996</v>
      </c>
      <c r="L17" s="164">
        <f t="shared" si="22"/>
        <v>3883997.74</v>
      </c>
      <c r="M17" s="164">
        <f t="shared" si="22"/>
        <v>3055973.64</v>
      </c>
      <c r="N17" s="164">
        <f t="shared" si="22"/>
        <v>3055973.64</v>
      </c>
      <c r="O17" s="164">
        <f t="shared" si="22"/>
        <v>2901030.64</v>
      </c>
      <c r="P17" s="164">
        <f t="shared" si="22"/>
        <v>1941925.88</v>
      </c>
      <c r="Q17" s="164">
        <f t="shared" si="22"/>
        <v>559614.97</v>
      </c>
      <c r="R17" s="164">
        <f t="shared" si="22"/>
        <v>0</v>
      </c>
      <c r="S17" s="164">
        <f t="shared" si="22"/>
        <v>0</v>
      </c>
      <c r="T17" s="164">
        <f t="shared" si="22"/>
        <v>0</v>
      </c>
      <c r="U17" s="165"/>
      <c r="V17" s="165"/>
      <c r="W17" s="165"/>
      <c r="X17" s="165"/>
      <c r="Y17" s="165"/>
      <c r="Z17" s="165"/>
      <c r="AA17" s="165"/>
      <c r="AB17" s="159"/>
    </row>
    <row r="18" spans="1:28" s="60" customFormat="1" ht="51.75" customHeight="1">
      <c r="A18" s="64"/>
      <c r="B18" s="81" t="s">
        <v>43</v>
      </c>
      <c r="C18" s="70" t="s">
        <v>123</v>
      </c>
      <c r="D18" s="196"/>
      <c r="E18" s="196"/>
      <c r="F18" s="210">
        <f>F17</f>
        <v>3405000</v>
      </c>
      <c r="G18" s="218">
        <f>'Przedsięwzięcia - Poręczenia'!P83</f>
        <v>4444852.6399999997</v>
      </c>
      <c r="H18" s="212">
        <f>'Przedsięwzięcia - Poręczenia'!Q83</f>
        <v>4675138.42</v>
      </c>
      <c r="I18" s="191">
        <f>'Przedsięwzięcia - Poręczenia'!R83</f>
        <v>4693844.59</v>
      </c>
      <c r="J18" s="191">
        <f>'Przedsięwzięcia - Poręczenia'!S83</f>
        <v>4588744.07</v>
      </c>
      <c r="K18" s="191">
        <f>'Przedsięwzięcia - Poręczenia'!T83</f>
        <v>4264504.0999999996</v>
      </c>
      <c r="L18" s="191">
        <f>'Przedsięwzięcia - Poręczenia'!U83</f>
        <v>3883997.74</v>
      </c>
      <c r="M18" s="191">
        <f>'Przedsięwzięcia - Poręczenia'!V83</f>
        <v>3055973.64</v>
      </c>
      <c r="N18" s="191">
        <f>'Przedsięwzięcia - Poręczenia'!W83</f>
        <v>3055973.64</v>
      </c>
      <c r="O18" s="191">
        <f>'Przedsięwzięcia - Poręczenia'!X83</f>
        <v>2901030.64</v>
      </c>
      <c r="P18" s="191">
        <f>'Przedsięwzięcia - Poręczenia'!Y83</f>
        <v>1941925.88</v>
      </c>
      <c r="Q18" s="191">
        <f>'Przedsięwzięcia - Poręczenia'!Z83</f>
        <v>559614.97</v>
      </c>
      <c r="R18" s="191">
        <f>'Przedsięwzięcia - Poręczenia'!AA83</f>
        <v>0</v>
      </c>
      <c r="S18" s="191">
        <f>'Przedsięwzięcia - Poręczenia'!AB83</f>
        <v>0</v>
      </c>
      <c r="T18" s="191">
        <f>'Przedsięwzięcia - Poręczenia'!AC83</f>
        <v>0</v>
      </c>
      <c r="U18" s="71"/>
      <c r="V18" s="71"/>
      <c r="W18" s="71"/>
      <c r="X18" s="71"/>
      <c r="Y18" s="71"/>
      <c r="Z18" s="71"/>
      <c r="AA18" s="71"/>
      <c r="AB18" s="64"/>
    </row>
    <row r="19" spans="1:28" s="166" customFormat="1" ht="25.5" customHeight="1" thickBot="1">
      <c r="A19" s="159"/>
      <c r="B19" s="160" t="s">
        <v>44</v>
      </c>
      <c r="C19" s="161" t="s">
        <v>102</v>
      </c>
      <c r="D19" s="162"/>
      <c r="E19" s="162"/>
      <c r="F19" s="211">
        <v>1915800</v>
      </c>
      <c r="G19" s="220">
        <f>'Planowane spłaty zobowiązań'!F39</f>
        <v>2173467</v>
      </c>
      <c r="H19" s="162">
        <f>'Planowane spłaty zobowiązań'!G39</f>
        <v>2346837</v>
      </c>
      <c r="I19" s="163">
        <f>'Planowane spłaty zobowiązań'!H39</f>
        <v>2535407</v>
      </c>
      <c r="J19" s="163">
        <f>'Planowane spłaty zobowiązań'!I39</f>
        <v>2538317</v>
      </c>
      <c r="K19" s="163">
        <f>'Planowane spłaty zobowiązań'!J39</f>
        <v>2218131</v>
      </c>
      <c r="L19" s="163">
        <f>'Planowane spłaty zobowiązań'!K39</f>
        <v>1983144</v>
      </c>
      <c r="M19" s="163">
        <f>'Planowane spłaty zobowiązań'!L39</f>
        <v>1649857</v>
      </c>
      <c r="N19" s="163">
        <f>'Planowane spłaty zobowiązań'!M39</f>
        <v>1373905</v>
      </c>
      <c r="O19" s="163">
        <f>'Planowane spłaty zobowiązań'!N39</f>
        <v>1090330</v>
      </c>
      <c r="P19" s="163">
        <f>'Planowane spłaty zobowiązań'!O39</f>
        <v>2008531</v>
      </c>
      <c r="Q19" s="163">
        <f>'Planowane spłaty zobowiązań'!P39</f>
        <v>1787946</v>
      </c>
      <c r="R19" s="163">
        <f>'Planowane spłaty zobowiązań'!Q39</f>
        <v>367132</v>
      </c>
      <c r="S19" s="163">
        <f>'Planowane spłaty zobowiązań'!R39</f>
        <v>220568</v>
      </c>
      <c r="T19" s="163">
        <f>'Planowane spłaty zobowiązań'!S39</f>
        <v>0</v>
      </c>
      <c r="U19" s="165"/>
      <c r="V19" s="165"/>
      <c r="W19" s="165"/>
      <c r="X19" s="165"/>
      <c r="Y19" s="165"/>
      <c r="Z19" s="165"/>
      <c r="AA19" s="165"/>
      <c r="AB19" s="159"/>
    </row>
    <row r="20" spans="1:28" s="6" customFormat="1" ht="5.0999999999999996" customHeight="1" thickTop="1" thickBot="1">
      <c r="A20" s="63"/>
      <c r="B20" s="80"/>
      <c r="C20" s="16"/>
      <c r="D20" s="31"/>
      <c r="E20" s="31"/>
      <c r="F20" s="31"/>
      <c r="G20" s="22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66"/>
      <c r="AB20" s="63"/>
    </row>
    <row r="21" spans="1:28" s="59" customFormat="1" ht="25.5" customHeight="1" thickTop="1" thickBot="1">
      <c r="A21" s="63"/>
      <c r="B21" s="82" t="s">
        <v>45</v>
      </c>
      <c r="C21" s="48" t="s">
        <v>46</v>
      </c>
      <c r="D21" s="32">
        <f t="shared" ref="D21:E21" si="23">D11-D12</f>
        <v>-1828364.1300000101</v>
      </c>
      <c r="E21" s="32">
        <f t="shared" si="23"/>
        <v>-5446063.5199999958</v>
      </c>
      <c r="F21" s="231">
        <f>F11-F12</f>
        <v>-218533</v>
      </c>
      <c r="G21" s="233">
        <f t="shared" ref="G21:AA21" si="24">G11-G12</f>
        <v>76912</v>
      </c>
      <c r="H21" s="232">
        <f t="shared" si="24"/>
        <v>6500000</v>
      </c>
      <c r="I21" s="32">
        <f t="shared" si="24"/>
        <v>6300000</v>
      </c>
      <c r="J21" s="32">
        <f t="shared" si="24"/>
        <v>6500000</v>
      </c>
      <c r="K21" s="32">
        <f t="shared" si="24"/>
        <v>6700000</v>
      </c>
      <c r="L21" s="32">
        <f t="shared" si="24"/>
        <v>5400000</v>
      </c>
      <c r="M21" s="32">
        <f t="shared" si="24"/>
        <v>4900000</v>
      </c>
      <c r="N21" s="32">
        <f t="shared" si="24"/>
        <v>5000000</v>
      </c>
      <c r="O21" s="32">
        <f t="shared" si="24"/>
        <v>5100000</v>
      </c>
      <c r="P21" s="32">
        <f t="shared" si="24"/>
        <v>3500000</v>
      </c>
      <c r="Q21" s="32">
        <f t="shared" si="24"/>
        <v>2770110</v>
      </c>
      <c r="R21" s="32">
        <f t="shared" si="24"/>
        <v>3700000</v>
      </c>
      <c r="S21" s="32">
        <f t="shared" si="24"/>
        <v>4600000</v>
      </c>
      <c r="T21" s="32">
        <f t="shared" si="24"/>
        <v>1600000</v>
      </c>
      <c r="U21" s="32">
        <f t="shared" si="24"/>
        <v>1500000</v>
      </c>
      <c r="V21" s="32">
        <f t="shared" si="24"/>
        <v>1400000</v>
      </c>
      <c r="W21" s="32">
        <f t="shared" si="24"/>
        <v>1400000</v>
      </c>
      <c r="X21" s="32">
        <f t="shared" si="24"/>
        <v>1400000</v>
      </c>
      <c r="Y21" s="32">
        <f t="shared" si="24"/>
        <v>1300000</v>
      </c>
      <c r="Z21" s="32">
        <f t="shared" si="24"/>
        <v>1200000</v>
      </c>
      <c r="AA21" s="32">
        <f t="shared" si="24"/>
        <v>1100000</v>
      </c>
      <c r="AB21" s="63"/>
    </row>
    <row r="22" spans="1:28" s="5" customFormat="1" ht="9.9499999999999993" customHeight="1" thickTop="1" thickBot="1">
      <c r="A22" s="63"/>
      <c r="B22" s="15"/>
      <c r="C22" s="17"/>
      <c r="D22" s="36"/>
      <c r="E22" s="36"/>
      <c r="F22" s="36"/>
      <c r="G22" s="22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63"/>
    </row>
    <row r="23" spans="1:28" s="5" customFormat="1" ht="25.5" customHeight="1" thickTop="1">
      <c r="A23" s="63"/>
      <c r="B23" s="83" t="s">
        <v>49</v>
      </c>
      <c r="C23" s="11" t="s">
        <v>50</v>
      </c>
      <c r="D23" s="123">
        <v>6722959.6500000004</v>
      </c>
      <c r="E23" s="123">
        <v>4798244.49</v>
      </c>
      <c r="F23" s="234">
        <v>17209544</v>
      </c>
      <c r="G23" s="238">
        <v>20143893</v>
      </c>
      <c r="H23" s="123">
        <f>28750000+16187655</f>
        <v>44937655</v>
      </c>
      <c r="I23" s="33">
        <f>10728005+23941361</f>
        <v>34669366</v>
      </c>
      <c r="J23" s="33">
        <v>6589399</v>
      </c>
      <c r="K23" s="33">
        <v>9000000</v>
      </c>
      <c r="L23" s="33">
        <v>9000000</v>
      </c>
      <c r="M23" s="33">
        <v>8000000</v>
      </c>
      <c r="N23" s="33">
        <v>7000000</v>
      </c>
      <c r="O23" s="33">
        <v>7000000</v>
      </c>
      <c r="P23" s="33">
        <v>7000000</v>
      </c>
      <c r="Q23" s="33">
        <v>6000000</v>
      </c>
      <c r="R23" s="33">
        <v>6000000</v>
      </c>
      <c r="S23" s="33">
        <v>6000000</v>
      </c>
      <c r="T23" s="33">
        <v>5000000</v>
      </c>
      <c r="U23" s="33">
        <v>5000000</v>
      </c>
      <c r="V23" s="33">
        <v>4000000</v>
      </c>
      <c r="W23" s="33">
        <v>4000000</v>
      </c>
      <c r="X23" s="33">
        <v>3000000</v>
      </c>
      <c r="Y23" s="33">
        <v>3000000</v>
      </c>
      <c r="Z23" s="33">
        <v>3000000</v>
      </c>
      <c r="AA23" s="33">
        <v>3000000</v>
      </c>
      <c r="AB23" s="63"/>
    </row>
    <row r="24" spans="1:28" s="59" customFormat="1" ht="25.5" customHeight="1">
      <c r="A24" s="63"/>
      <c r="B24" s="84" t="s">
        <v>51</v>
      </c>
      <c r="C24" s="12" t="s">
        <v>109</v>
      </c>
      <c r="D24" s="132">
        <v>5454979.4699999997</v>
      </c>
      <c r="E24" s="132">
        <v>4633721.28</v>
      </c>
      <c r="F24" s="235">
        <v>9371315</v>
      </c>
      <c r="G24" s="239">
        <v>9940000</v>
      </c>
      <c r="H24" s="237">
        <v>14500000</v>
      </c>
      <c r="I24" s="34">
        <v>10050000</v>
      </c>
      <c r="J24" s="34">
        <v>6500000</v>
      </c>
      <c r="K24" s="34">
        <v>6600000</v>
      </c>
      <c r="L24" s="34">
        <v>5500000</v>
      </c>
      <c r="M24" s="34">
        <v>6000000</v>
      </c>
      <c r="N24" s="34">
        <v>5500000</v>
      </c>
      <c r="O24" s="34">
        <v>5000000</v>
      </c>
      <c r="P24" s="34">
        <v>4000000</v>
      </c>
      <c r="Q24" s="34">
        <v>3000000</v>
      </c>
      <c r="R24" s="34">
        <v>3000000</v>
      </c>
      <c r="S24" s="34">
        <v>3000000</v>
      </c>
      <c r="T24" s="34">
        <v>2000000</v>
      </c>
      <c r="U24" s="34">
        <v>2000000</v>
      </c>
      <c r="V24" s="34">
        <v>1000000</v>
      </c>
      <c r="W24" s="34">
        <v>1000000</v>
      </c>
      <c r="X24" s="34">
        <v>0</v>
      </c>
      <c r="Y24" s="34">
        <v>0</v>
      </c>
      <c r="Z24" s="34">
        <v>0</v>
      </c>
      <c r="AA24" s="34">
        <v>0</v>
      </c>
      <c r="AB24" s="63"/>
    </row>
    <row r="25" spans="1:28" s="59" customFormat="1" ht="25.5" customHeight="1">
      <c r="A25" s="63"/>
      <c r="B25" s="85" t="s">
        <v>52</v>
      </c>
      <c r="C25" s="13" t="s">
        <v>58</v>
      </c>
      <c r="D25" s="124">
        <v>10253528.82</v>
      </c>
      <c r="E25" s="124">
        <v>9080995.8399999999</v>
      </c>
      <c r="F25" s="236">
        <v>23388544</v>
      </c>
      <c r="G25" s="240">
        <v>22795996</v>
      </c>
      <c r="H25" s="124">
        <v>47794300</v>
      </c>
      <c r="I25" s="35">
        <v>38019395</v>
      </c>
      <c r="J25" s="35">
        <v>8000000</v>
      </c>
      <c r="K25" s="35">
        <v>9000000</v>
      </c>
      <c r="L25" s="35">
        <v>9000000</v>
      </c>
      <c r="M25" s="35">
        <v>8000000</v>
      </c>
      <c r="N25" s="35">
        <v>7000000</v>
      </c>
      <c r="O25" s="35">
        <v>7000000</v>
      </c>
      <c r="P25" s="35">
        <v>7900000</v>
      </c>
      <c r="Q25" s="35">
        <v>6900000</v>
      </c>
      <c r="R25" s="35">
        <v>9411592</v>
      </c>
      <c r="S25" s="35">
        <v>8084824</v>
      </c>
      <c r="T25" s="35">
        <v>6545447</v>
      </c>
      <c r="U25" s="35">
        <v>9000000</v>
      </c>
      <c r="V25" s="35">
        <v>8000000</v>
      </c>
      <c r="W25" s="35">
        <v>8000000</v>
      </c>
      <c r="X25" s="35">
        <v>7000000</v>
      </c>
      <c r="Y25" s="35">
        <v>7000000</v>
      </c>
      <c r="Z25" s="35">
        <v>7000000</v>
      </c>
      <c r="AA25" s="35">
        <v>8000000</v>
      </c>
      <c r="AB25" s="63"/>
    </row>
    <row r="26" spans="1:28" s="59" customFormat="1" ht="25.5" customHeight="1" thickBot="1">
      <c r="A26" s="63"/>
      <c r="B26" s="80" t="s">
        <v>53</v>
      </c>
      <c r="C26" s="69" t="s">
        <v>59</v>
      </c>
      <c r="D26" s="119"/>
      <c r="E26" s="119"/>
      <c r="F26" s="222">
        <v>8349676</v>
      </c>
      <c r="G26" s="226">
        <f>'Przedsięwzięcia  - majątkowe'!P188</f>
        <v>9166747</v>
      </c>
      <c r="H26" s="280">
        <f>'Przedsięwzięcia  - majątkowe'!Q188</f>
        <v>46420290</v>
      </c>
      <c r="I26" s="43">
        <f>'Przedsięwzięcia  - majątkowe'!R188</f>
        <v>37033180.93</v>
      </c>
      <c r="J26" s="43">
        <f>'Przedsięwzięcia  - majątkowe'!S188</f>
        <v>4546024.47</v>
      </c>
      <c r="K26" s="43"/>
      <c r="L26" s="43"/>
      <c r="M26" s="43"/>
      <c r="N26" s="43"/>
      <c r="O26" s="43"/>
      <c r="P26" s="43"/>
      <c r="Q26" s="43"/>
      <c r="R26" s="43"/>
      <c r="S26" s="119"/>
      <c r="T26" s="43"/>
      <c r="U26" s="43"/>
      <c r="V26" s="43"/>
      <c r="W26" s="43"/>
      <c r="X26" s="43"/>
      <c r="Y26" s="43"/>
      <c r="Z26" s="43"/>
      <c r="AA26" s="43"/>
      <c r="AB26" s="63"/>
    </row>
    <row r="27" spans="1:28" s="15" customFormat="1" ht="9.9499999999999993" customHeight="1" thickTop="1" thickBot="1">
      <c r="A27" s="63"/>
      <c r="C27" s="16"/>
      <c r="D27" s="36"/>
      <c r="E27" s="36"/>
      <c r="F27" s="36"/>
      <c r="G27" s="22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6"/>
      <c r="T27" s="36"/>
      <c r="U27" s="36"/>
      <c r="V27" s="36"/>
      <c r="W27" s="36"/>
      <c r="X27" s="36"/>
      <c r="Y27" s="36"/>
      <c r="Z27" s="36"/>
      <c r="AA27" s="36"/>
      <c r="AB27" s="63"/>
    </row>
    <row r="28" spans="1:28" s="59" customFormat="1" ht="25.5" customHeight="1" thickTop="1" thickBot="1">
      <c r="A28" s="63"/>
      <c r="B28" s="86" t="s">
        <v>54</v>
      </c>
      <c r="C28" s="49" t="s">
        <v>60</v>
      </c>
      <c r="D28" s="37">
        <f t="shared" ref="D28:E28" si="25">D23-D25</f>
        <v>-3530569.17</v>
      </c>
      <c r="E28" s="37">
        <f t="shared" si="25"/>
        <v>-4282751.3499999996</v>
      </c>
      <c r="F28" s="227">
        <f>F23-F25</f>
        <v>-6179000</v>
      </c>
      <c r="G28" s="230">
        <f t="shared" ref="G28:J28" si="26">G23-G25</f>
        <v>-2652103</v>
      </c>
      <c r="H28" s="228">
        <f t="shared" si="26"/>
        <v>-2856645</v>
      </c>
      <c r="I28" s="37">
        <f t="shared" si="26"/>
        <v>-3350029</v>
      </c>
      <c r="J28" s="37">
        <f t="shared" si="26"/>
        <v>-1410601</v>
      </c>
      <c r="K28" s="37">
        <f t="shared" ref="K28:AA28" si="27">K23-K25</f>
        <v>0</v>
      </c>
      <c r="L28" s="37">
        <f t="shared" si="27"/>
        <v>0</v>
      </c>
      <c r="M28" s="37">
        <f t="shared" si="27"/>
        <v>0</v>
      </c>
      <c r="N28" s="37">
        <f t="shared" si="27"/>
        <v>0</v>
      </c>
      <c r="O28" s="37">
        <f t="shared" si="27"/>
        <v>0</v>
      </c>
      <c r="P28" s="37">
        <f t="shared" si="27"/>
        <v>-900000</v>
      </c>
      <c r="Q28" s="37">
        <f t="shared" si="27"/>
        <v>-900000</v>
      </c>
      <c r="R28" s="37">
        <f t="shared" si="27"/>
        <v>-3411592</v>
      </c>
      <c r="S28" s="37">
        <f t="shared" si="27"/>
        <v>-2084824</v>
      </c>
      <c r="T28" s="37">
        <f t="shared" si="27"/>
        <v>-1545447</v>
      </c>
      <c r="U28" s="37">
        <f t="shared" si="27"/>
        <v>-4000000</v>
      </c>
      <c r="V28" s="37">
        <f t="shared" si="27"/>
        <v>-4000000</v>
      </c>
      <c r="W28" s="37">
        <f t="shared" si="27"/>
        <v>-4000000</v>
      </c>
      <c r="X28" s="37">
        <f t="shared" si="27"/>
        <v>-4000000</v>
      </c>
      <c r="Y28" s="37">
        <f t="shared" si="27"/>
        <v>-4000000</v>
      </c>
      <c r="Z28" s="37">
        <f t="shared" si="27"/>
        <v>-4000000</v>
      </c>
      <c r="AA28" s="37">
        <f t="shared" si="27"/>
        <v>-5000000</v>
      </c>
      <c r="AB28" s="63"/>
    </row>
    <row r="29" spans="1:28" s="15" customFormat="1" ht="5.0999999999999996" customHeight="1" thickTop="1" thickBot="1">
      <c r="A29" s="63"/>
      <c r="C29" s="17"/>
      <c r="D29" s="120"/>
      <c r="E29" s="36"/>
      <c r="F29" s="36"/>
      <c r="G29" s="229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63"/>
    </row>
    <row r="30" spans="1:28" s="59" customFormat="1" ht="25.5" customHeight="1" thickTop="1">
      <c r="A30" s="63"/>
      <c r="B30" s="87" t="s">
        <v>103</v>
      </c>
      <c r="C30" s="22" t="s">
        <v>113</v>
      </c>
      <c r="D30" s="38">
        <f t="shared" ref="D30:E30" si="28">SUM(D31:D36)</f>
        <v>9156416</v>
      </c>
      <c r="E30" s="38">
        <f t="shared" si="28"/>
        <v>13674409</v>
      </c>
      <c r="F30" s="221">
        <f>SUM(F31:F36)</f>
        <v>6397533</v>
      </c>
      <c r="G30" s="225">
        <f t="shared" ref="G30:AA30" si="29">SUM(G31:G36)</f>
        <v>2575191</v>
      </c>
      <c r="H30" s="224">
        <f t="shared" si="29"/>
        <v>0</v>
      </c>
      <c r="I30" s="38">
        <f t="shared" si="29"/>
        <v>0</v>
      </c>
      <c r="J30" s="38">
        <f t="shared" si="29"/>
        <v>0</v>
      </c>
      <c r="K30" s="38">
        <f t="shared" si="29"/>
        <v>0</v>
      </c>
      <c r="L30" s="38">
        <f t="shared" si="29"/>
        <v>0</v>
      </c>
      <c r="M30" s="38">
        <f t="shared" si="29"/>
        <v>0</v>
      </c>
      <c r="N30" s="38">
        <f t="shared" si="29"/>
        <v>0</v>
      </c>
      <c r="O30" s="38">
        <f t="shared" si="29"/>
        <v>0</v>
      </c>
      <c r="P30" s="38">
        <f t="shared" si="29"/>
        <v>0</v>
      </c>
      <c r="Q30" s="38">
        <f t="shared" si="29"/>
        <v>0</v>
      </c>
      <c r="R30" s="38">
        <f t="shared" si="29"/>
        <v>0</v>
      </c>
      <c r="S30" s="38">
        <f t="shared" si="29"/>
        <v>0</v>
      </c>
      <c r="T30" s="38">
        <f t="shared" si="29"/>
        <v>0</v>
      </c>
      <c r="U30" s="38">
        <f t="shared" si="29"/>
        <v>0</v>
      </c>
      <c r="V30" s="38">
        <f t="shared" si="29"/>
        <v>0</v>
      </c>
      <c r="W30" s="38">
        <f t="shared" si="29"/>
        <v>0</v>
      </c>
      <c r="X30" s="38">
        <f t="shared" si="29"/>
        <v>0</v>
      </c>
      <c r="Y30" s="38">
        <f t="shared" si="29"/>
        <v>0</v>
      </c>
      <c r="Z30" s="38">
        <f t="shared" si="29"/>
        <v>0</v>
      </c>
      <c r="AA30" s="38">
        <f t="shared" si="29"/>
        <v>0</v>
      </c>
      <c r="AB30" s="63"/>
    </row>
    <row r="31" spans="1:28" s="59" customFormat="1" ht="25.5" customHeight="1">
      <c r="A31" s="63"/>
      <c r="B31" s="80" t="s">
        <v>64</v>
      </c>
      <c r="C31" s="69" t="s">
        <v>114</v>
      </c>
      <c r="D31" s="119"/>
      <c r="E31" s="119"/>
      <c r="F31" s="222"/>
      <c r="G31" s="217"/>
      <c r="H31" s="119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63"/>
    </row>
    <row r="32" spans="1:28" s="59" customFormat="1" ht="25.5" customHeight="1">
      <c r="A32" s="63"/>
      <c r="B32" s="80" t="s">
        <v>104</v>
      </c>
      <c r="C32" s="69" t="s">
        <v>115</v>
      </c>
      <c r="D32" s="119"/>
      <c r="E32" s="119"/>
      <c r="F32" s="222"/>
      <c r="G32" s="217"/>
      <c r="H32" s="119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63"/>
    </row>
    <row r="33" spans="1:28" s="59" customFormat="1" ht="25.5" customHeight="1">
      <c r="A33" s="63"/>
      <c r="B33" s="80" t="s">
        <v>105</v>
      </c>
      <c r="C33" s="69" t="s">
        <v>73</v>
      </c>
      <c r="D33" s="43">
        <f>D50+D53+D54-D56</f>
        <v>5205362</v>
      </c>
      <c r="E33" s="43">
        <f t="shared" ref="E33" si="30">E50+E53-E56</f>
        <v>10077301</v>
      </c>
      <c r="F33" s="222">
        <f>F50+F53-F56</f>
        <v>3543907</v>
      </c>
      <c r="G33" s="222">
        <f>G50+G53-G56</f>
        <v>2575191</v>
      </c>
      <c r="H33" s="11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63"/>
    </row>
    <row r="34" spans="1:28" s="59" customFormat="1" ht="25.5" customHeight="1">
      <c r="A34" s="63"/>
      <c r="B34" s="80" t="s">
        <v>106</v>
      </c>
      <c r="C34" s="69" t="s">
        <v>118</v>
      </c>
      <c r="D34" s="119"/>
      <c r="E34" s="119"/>
      <c r="F34" s="222"/>
      <c r="G34" s="217"/>
      <c r="H34" s="119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63"/>
    </row>
    <row r="35" spans="1:28" s="59" customFormat="1" ht="25.5" customHeight="1">
      <c r="A35" s="63"/>
      <c r="B35" s="80" t="s">
        <v>107</v>
      </c>
      <c r="C35" s="69" t="s">
        <v>116</v>
      </c>
      <c r="D35" s="119"/>
      <c r="E35" s="119"/>
      <c r="F35" s="222"/>
      <c r="G35" s="217"/>
      <c r="H35" s="119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63"/>
    </row>
    <row r="36" spans="1:28" s="59" customFormat="1" ht="25.5" customHeight="1" thickBot="1">
      <c r="A36" s="63"/>
      <c r="B36" s="80" t="s">
        <v>108</v>
      </c>
      <c r="C36" s="69" t="s">
        <v>125</v>
      </c>
      <c r="D36" s="119">
        <v>3951054</v>
      </c>
      <c r="E36" s="119">
        <v>3597108</v>
      </c>
      <c r="F36" s="223">
        <v>2853626</v>
      </c>
      <c r="G36" s="226">
        <v>0</v>
      </c>
      <c r="H36" s="125">
        <f t="shared" ref="H36:R36" si="31">H53</f>
        <v>0</v>
      </c>
      <c r="I36" s="72">
        <f t="shared" si="31"/>
        <v>0</v>
      </c>
      <c r="J36" s="72">
        <f t="shared" si="31"/>
        <v>0</v>
      </c>
      <c r="K36" s="72">
        <v>0</v>
      </c>
      <c r="L36" s="72">
        <f t="shared" si="31"/>
        <v>0</v>
      </c>
      <c r="M36" s="72">
        <f t="shared" si="31"/>
        <v>0</v>
      </c>
      <c r="N36" s="72">
        <f t="shared" si="31"/>
        <v>0</v>
      </c>
      <c r="O36" s="72">
        <f t="shared" si="31"/>
        <v>0</v>
      </c>
      <c r="P36" s="72">
        <f t="shared" si="31"/>
        <v>0</v>
      </c>
      <c r="Q36" s="72">
        <f t="shared" si="31"/>
        <v>0</v>
      </c>
      <c r="R36" s="72">
        <f t="shared" si="31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63"/>
    </row>
    <row r="37" spans="1:28" s="15" customFormat="1" ht="9.9499999999999993" customHeight="1" thickTop="1" thickBot="1">
      <c r="A37" s="63"/>
      <c r="B37" s="20"/>
      <c r="C37" s="21"/>
      <c r="D37" s="39"/>
      <c r="E37" s="39"/>
      <c r="F37" s="39"/>
      <c r="G37" s="24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54"/>
      <c r="X37" s="39"/>
      <c r="Y37" s="39"/>
      <c r="Z37" s="39"/>
      <c r="AA37" s="39"/>
      <c r="AB37" s="63"/>
    </row>
    <row r="38" spans="1:28" s="59" customFormat="1" ht="25.5" customHeight="1" thickTop="1">
      <c r="A38" s="63"/>
      <c r="B38" s="88" t="s">
        <v>65</v>
      </c>
      <c r="C38" s="51" t="s">
        <v>124</v>
      </c>
      <c r="D38" s="126"/>
      <c r="E38" s="130"/>
      <c r="F38" s="241">
        <f>SUM(F39:F43)</f>
        <v>0</v>
      </c>
      <c r="G38" s="243">
        <f t="shared" ref="G38:AA38" si="32">SUM(G39:G43)</f>
        <v>0</v>
      </c>
      <c r="H38" s="130">
        <f t="shared" si="32"/>
        <v>3643355</v>
      </c>
      <c r="I38" s="40">
        <f t="shared" si="32"/>
        <v>2949971</v>
      </c>
      <c r="J38" s="40">
        <f t="shared" si="32"/>
        <v>5089399</v>
      </c>
      <c r="K38" s="40">
        <f t="shared" si="32"/>
        <v>6700000</v>
      </c>
      <c r="L38" s="40">
        <f t="shared" si="32"/>
        <v>5400000</v>
      </c>
      <c r="M38" s="40">
        <f t="shared" si="32"/>
        <v>4900000</v>
      </c>
      <c r="N38" s="40">
        <f t="shared" si="32"/>
        <v>5000000</v>
      </c>
      <c r="O38" s="40">
        <f t="shared" si="32"/>
        <v>5100000</v>
      </c>
      <c r="P38" s="40">
        <f t="shared" si="32"/>
        <v>2600000</v>
      </c>
      <c r="Q38" s="40">
        <f t="shared" si="32"/>
        <v>1870110</v>
      </c>
      <c r="R38" s="40">
        <f t="shared" si="32"/>
        <v>0</v>
      </c>
      <c r="S38" s="40">
        <f t="shared" si="32"/>
        <v>2515176</v>
      </c>
      <c r="T38" s="40">
        <f t="shared" si="32"/>
        <v>54553</v>
      </c>
      <c r="U38" s="40">
        <f t="shared" si="32"/>
        <v>-2500000</v>
      </c>
      <c r="V38" s="40">
        <f t="shared" si="32"/>
        <v>-2600000</v>
      </c>
      <c r="W38" s="40">
        <f t="shared" si="32"/>
        <v>-2600000</v>
      </c>
      <c r="X38" s="40">
        <f t="shared" si="32"/>
        <v>-2600000</v>
      </c>
      <c r="Y38" s="40">
        <f t="shared" si="32"/>
        <v>-2700000</v>
      </c>
      <c r="Z38" s="40">
        <f t="shared" si="32"/>
        <v>-2800000</v>
      </c>
      <c r="AA38" s="40">
        <f t="shared" si="32"/>
        <v>-3900000</v>
      </c>
      <c r="AB38" s="63"/>
    </row>
    <row r="39" spans="1:28" s="59" customFormat="1" ht="25.5" customHeight="1">
      <c r="A39" s="63"/>
      <c r="B39" s="80" t="s">
        <v>66</v>
      </c>
      <c r="C39" s="69" t="s">
        <v>110</v>
      </c>
      <c r="D39" s="119"/>
      <c r="E39" s="119"/>
      <c r="F39" s="222"/>
      <c r="G39" s="217"/>
      <c r="H39" s="119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63"/>
    </row>
    <row r="40" spans="1:28" s="59" customFormat="1" ht="25.5" customHeight="1">
      <c r="A40" s="63"/>
      <c r="B40" s="80" t="s">
        <v>67</v>
      </c>
      <c r="C40" s="69" t="s">
        <v>111</v>
      </c>
      <c r="D40" s="119"/>
      <c r="E40" s="119"/>
      <c r="F40" s="222"/>
      <c r="G40" s="217"/>
      <c r="H40" s="119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>
        <v>54553</v>
      </c>
      <c r="U40" s="43"/>
      <c r="V40" s="43"/>
      <c r="W40" s="43"/>
      <c r="X40" s="43"/>
      <c r="Y40" s="43"/>
      <c r="Z40" s="43"/>
      <c r="AA40" s="43"/>
      <c r="AB40" s="63"/>
    </row>
    <row r="41" spans="1:28" s="59" customFormat="1" ht="25.5" customHeight="1">
      <c r="A41" s="63"/>
      <c r="B41" s="80" t="s">
        <v>68</v>
      </c>
      <c r="C41" s="69" t="s">
        <v>93</v>
      </c>
      <c r="D41" s="119"/>
      <c r="E41" s="119"/>
      <c r="F41" s="222"/>
      <c r="G41" s="217"/>
      <c r="H41" s="119">
        <v>3643355</v>
      </c>
      <c r="I41" s="43">
        <v>2949971</v>
      </c>
      <c r="J41" s="43">
        <f t="shared" ref="J41:AA41" si="33">J9</f>
        <v>5089399</v>
      </c>
      <c r="K41" s="43">
        <f t="shared" si="33"/>
        <v>6700000</v>
      </c>
      <c r="L41" s="43">
        <f t="shared" si="33"/>
        <v>5400000</v>
      </c>
      <c r="M41" s="43">
        <f t="shared" si="33"/>
        <v>4900000</v>
      </c>
      <c r="N41" s="43">
        <f t="shared" si="33"/>
        <v>5000000</v>
      </c>
      <c r="O41" s="43">
        <f t="shared" si="33"/>
        <v>5100000</v>
      </c>
      <c r="P41" s="43">
        <f t="shared" si="33"/>
        <v>2600000</v>
      </c>
      <c r="Q41" s="43">
        <f t="shared" si="33"/>
        <v>1870110</v>
      </c>
      <c r="R41" s="43">
        <f t="shared" si="33"/>
        <v>288408</v>
      </c>
      <c r="S41" s="43">
        <f t="shared" si="33"/>
        <v>2515176</v>
      </c>
      <c r="T41" s="43">
        <v>0</v>
      </c>
      <c r="U41" s="43">
        <f t="shared" si="33"/>
        <v>-2500000</v>
      </c>
      <c r="V41" s="43">
        <f t="shared" si="33"/>
        <v>-2600000</v>
      </c>
      <c r="W41" s="43">
        <f t="shared" si="33"/>
        <v>-2600000</v>
      </c>
      <c r="X41" s="43">
        <f t="shared" si="33"/>
        <v>-2600000</v>
      </c>
      <c r="Y41" s="43">
        <f t="shared" si="33"/>
        <v>-2700000</v>
      </c>
      <c r="Z41" s="43">
        <f t="shared" si="33"/>
        <v>-2800000</v>
      </c>
      <c r="AA41" s="43">
        <f t="shared" si="33"/>
        <v>-3900000</v>
      </c>
      <c r="AB41" s="63"/>
    </row>
    <row r="42" spans="1:28" s="59" customFormat="1" ht="25.5" customHeight="1">
      <c r="A42" s="63"/>
      <c r="B42" s="80" t="s">
        <v>69</v>
      </c>
      <c r="C42" s="69" t="s">
        <v>112</v>
      </c>
      <c r="D42" s="119"/>
      <c r="E42" s="119"/>
      <c r="F42" s="222"/>
      <c r="G42" s="217"/>
      <c r="H42" s="119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63"/>
    </row>
    <row r="43" spans="1:28" s="59" customFormat="1" ht="25.5" customHeight="1" thickBot="1">
      <c r="A43" s="63"/>
      <c r="B43" s="80" t="s">
        <v>70</v>
      </c>
      <c r="C43" s="69" t="s">
        <v>117</v>
      </c>
      <c r="D43" s="125"/>
      <c r="E43" s="125"/>
      <c r="F43" s="223"/>
      <c r="G43" s="226"/>
      <c r="H43" s="125"/>
      <c r="I43" s="72"/>
      <c r="J43" s="72"/>
      <c r="K43" s="72"/>
      <c r="L43" s="72"/>
      <c r="M43" s="72"/>
      <c r="N43" s="72"/>
      <c r="O43" s="72"/>
      <c r="P43" s="72"/>
      <c r="Q43" s="72"/>
      <c r="R43" s="72">
        <f>R45-R56</f>
        <v>-288408</v>
      </c>
      <c r="S43" s="72"/>
      <c r="T43" s="72"/>
      <c r="U43" s="72"/>
      <c r="V43" s="72"/>
      <c r="W43" s="72"/>
      <c r="X43" s="72"/>
      <c r="Y43" s="72"/>
      <c r="Z43" s="72"/>
      <c r="AA43" s="72"/>
      <c r="AB43" s="63"/>
    </row>
    <row r="44" spans="1:28" s="15" customFormat="1" ht="9.9499999999999993" customHeight="1" thickTop="1" thickBot="1">
      <c r="A44" s="63"/>
      <c r="B44" s="20"/>
      <c r="C44" s="21"/>
      <c r="D44" s="39"/>
      <c r="E44" s="39"/>
      <c r="F44" s="39"/>
      <c r="G44" s="242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54"/>
      <c r="X44" s="39"/>
      <c r="Y44" s="39"/>
      <c r="Z44" s="39"/>
      <c r="AA44" s="39"/>
      <c r="AB44" s="63"/>
    </row>
    <row r="45" spans="1:28" s="59" customFormat="1" ht="25.5" customHeight="1" thickTop="1" thickBot="1">
      <c r="A45" s="63"/>
      <c r="B45" s="89" t="s">
        <v>71</v>
      </c>
      <c r="C45" s="52" t="s">
        <v>72</v>
      </c>
      <c r="D45" s="41">
        <f t="shared" ref="D45:E45" si="34">D47+D51+D52+D53+D54</f>
        <v>8901750</v>
      </c>
      <c r="E45" s="41">
        <f t="shared" si="34"/>
        <v>16000000</v>
      </c>
      <c r="F45" s="244">
        <f>F47+F51+F52+F53+F54</f>
        <v>10000000</v>
      </c>
      <c r="G45" s="246">
        <f t="shared" ref="G45:AA45" si="35">G47+G51+G52+G53+G54</f>
        <v>9574058</v>
      </c>
      <c r="H45" s="245">
        <f t="shared" si="35"/>
        <v>2517510</v>
      </c>
      <c r="I45" s="41">
        <f t="shared" si="35"/>
        <v>3379957</v>
      </c>
      <c r="J45" s="41">
        <f t="shared" si="35"/>
        <v>1822701</v>
      </c>
      <c r="K45" s="41">
        <f t="shared" si="35"/>
        <v>118549</v>
      </c>
      <c r="L45" s="41">
        <f t="shared" si="35"/>
        <v>1389237</v>
      </c>
      <c r="M45" s="41">
        <f t="shared" si="35"/>
        <v>1838242</v>
      </c>
      <c r="N45" s="41">
        <f t="shared" si="35"/>
        <v>1641424</v>
      </c>
      <c r="O45" s="41">
        <f t="shared" si="35"/>
        <v>1521081</v>
      </c>
      <c r="P45" s="41">
        <f t="shared" si="35"/>
        <v>2021081</v>
      </c>
      <c r="Q45" s="41">
        <f t="shared" si="35"/>
        <v>2750971</v>
      </c>
      <c r="R45" s="41">
        <f t="shared" si="35"/>
        <v>4332673</v>
      </c>
      <c r="S45" s="41">
        <f t="shared" si="35"/>
        <v>1835180</v>
      </c>
      <c r="T45" s="41">
        <f t="shared" si="35"/>
        <v>0</v>
      </c>
      <c r="U45" s="41">
        <f t="shared" si="35"/>
        <v>0</v>
      </c>
      <c r="V45" s="41">
        <f t="shared" si="35"/>
        <v>0</v>
      </c>
      <c r="W45" s="41">
        <f t="shared" si="35"/>
        <v>0</v>
      </c>
      <c r="X45" s="41">
        <f t="shared" si="35"/>
        <v>0</v>
      </c>
      <c r="Y45" s="41">
        <f t="shared" si="35"/>
        <v>0</v>
      </c>
      <c r="Z45" s="41">
        <f t="shared" si="35"/>
        <v>0</v>
      </c>
      <c r="AA45" s="41">
        <f t="shared" si="35"/>
        <v>0</v>
      </c>
      <c r="AB45" s="63"/>
    </row>
    <row r="46" spans="1:28" s="15" customFormat="1" ht="9.9499999999999993" customHeight="1" thickTop="1" thickBot="1">
      <c r="A46" s="63"/>
      <c r="B46" s="20"/>
      <c r="C46" s="23"/>
      <c r="D46" s="127"/>
      <c r="E46" s="39"/>
      <c r="F46" s="39"/>
      <c r="G46" s="2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54"/>
      <c r="X46" s="39"/>
      <c r="Y46" s="39"/>
      <c r="Z46" s="39"/>
      <c r="AA46" s="39"/>
      <c r="AB46" s="63"/>
    </row>
    <row r="47" spans="1:28" s="59" customFormat="1" ht="25.5" customHeight="1" thickTop="1">
      <c r="A47" s="63"/>
      <c r="B47" s="80" t="s">
        <v>74</v>
      </c>
      <c r="C47" s="69" t="s">
        <v>3</v>
      </c>
      <c r="D47" s="73">
        <f t="shared" ref="D47:E47" si="36">SUM(D48:D50)</f>
        <v>8900000</v>
      </c>
      <c r="E47" s="73">
        <f t="shared" si="36"/>
        <v>16000000</v>
      </c>
      <c r="F47" s="247">
        <f>SUM(F48:F50)</f>
        <v>10000000</v>
      </c>
      <c r="G47" s="250">
        <f t="shared" ref="G47:AA47" si="37">SUM(G48:G50)</f>
        <v>7000000</v>
      </c>
      <c r="H47" s="66">
        <f t="shared" si="37"/>
        <v>2517510</v>
      </c>
      <c r="I47" s="73">
        <f t="shared" si="37"/>
        <v>3379957</v>
      </c>
      <c r="J47" s="73">
        <f t="shared" si="37"/>
        <v>1822701</v>
      </c>
      <c r="K47" s="73">
        <f t="shared" si="37"/>
        <v>118549</v>
      </c>
      <c r="L47" s="73">
        <f t="shared" si="37"/>
        <v>1389237</v>
      </c>
      <c r="M47" s="73">
        <f t="shared" si="37"/>
        <v>1838242</v>
      </c>
      <c r="N47" s="73">
        <f t="shared" si="37"/>
        <v>1641424</v>
      </c>
      <c r="O47" s="73">
        <f t="shared" si="37"/>
        <v>1521081</v>
      </c>
      <c r="P47" s="73">
        <f t="shared" si="37"/>
        <v>2021081</v>
      </c>
      <c r="Q47" s="73">
        <f t="shared" si="37"/>
        <v>2750971</v>
      </c>
      <c r="R47" s="73">
        <f t="shared" si="37"/>
        <v>4332673</v>
      </c>
      <c r="S47" s="73">
        <f t="shared" si="37"/>
        <v>1835180</v>
      </c>
      <c r="T47" s="73">
        <f t="shared" si="37"/>
        <v>0</v>
      </c>
      <c r="U47" s="73">
        <f t="shared" si="37"/>
        <v>-54553</v>
      </c>
      <c r="V47" s="73">
        <f t="shared" si="37"/>
        <v>2500000</v>
      </c>
      <c r="W47" s="73">
        <f t="shared" si="37"/>
        <v>2600000</v>
      </c>
      <c r="X47" s="73">
        <f t="shared" si="37"/>
        <v>2600000</v>
      </c>
      <c r="Y47" s="73">
        <f t="shared" si="37"/>
        <v>2600000</v>
      </c>
      <c r="Z47" s="73">
        <f t="shared" si="37"/>
        <v>2700000</v>
      </c>
      <c r="AA47" s="73">
        <f t="shared" si="37"/>
        <v>2800000</v>
      </c>
      <c r="AB47" s="63"/>
    </row>
    <row r="48" spans="1:28" s="59" customFormat="1" ht="25.5" customHeight="1">
      <c r="A48" s="63"/>
      <c r="B48" s="80" t="s">
        <v>75</v>
      </c>
      <c r="C48" s="69" t="s">
        <v>4</v>
      </c>
      <c r="D48" s="119"/>
      <c r="E48" s="119"/>
      <c r="F48" s="222"/>
      <c r="G48" s="217"/>
      <c r="H48" s="119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63"/>
    </row>
    <row r="49" spans="1:28" s="59" customFormat="1" ht="25.5" customHeight="1">
      <c r="A49" s="63"/>
      <c r="B49" s="80" t="s">
        <v>76</v>
      </c>
      <c r="C49" s="69" t="s">
        <v>5</v>
      </c>
      <c r="D49" s="119"/>
      <c r="E49" s="119"/>
      <c r="F49" s="222"/>
      <c r="G49" s="217"/>
      <c r="H49" s="119">
        <v>2285316</v>
      </c>
      <c r="I49" s="43">
        <v>3379957</v>
      </c>
      <c r="J49" s="43">
        <v>545523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63"/>
    </row>
    <row r="50" spans="1:28" s="59" customFormat="1" ht="25.5" customHeight="1">
      <c r="A50" s="63"/>
      <c r="B50" s="80" t="s">
        <v>77</v>
      </c>
      <c r="C50" s="69" t="s">
        <v>6</v>
      </c>
      <c r="D50" s="119">
        <v>8900000</v>
      </c>
      <c r="E50" s="119">
        <v>16000000</v>
      </c>
      <c r="F50" s="222">
        <v>10000000</v>
      </c>
      <c r="G50" s="217">
        <v>7000000</v>
      </c>
      <c r="H50" s="119">
        <v>232194</v>
      </c>
      <c r="I50" s="43">
        <v>0</v>
      </c>
      <c r="J50" s="43">
        <v>1277178</v>
      </c>
      <c r="K50" s="43">
        <v>118549</v>
      </c>
      <c r="L50" s="43">
        <v>1389237</v>
      </c>
      <c r="M50" s="43">
        <v>1838242</v>
      </c>
      <c r="N50" s="43">
        <v>1641424</v>
      </c>
      <c r="O50" s="43">
        <v>1521081</v>
      </c>
      <c r="P50" s="43">
        <v>2021081</v>
      </c>
      <c r="Q50" s="43">
        <v>2750971</v>
      </c>
      <c r="R50" s="43">
        <v>4332673</v>
      </c>
      <c r="S50" s="43">
        <v>1835180</v>
      </c>
      <c r="T50" s="43">
        <v>0</v>
      </c>
      <c r="U50" s="43">
        <f t="shared" ref="U50:AA50" si="38">U56-U52</f>
        <v>-54553</v>
      </c>
      <c r="V50" s="43">
        <f t="shared" si="38"/>
        <v>2500000</v>
      </c>
      <c r="W50" s="43">
        <f t="shared" si="38"/>
        <v>2600000</v>
      </c>
      <c r="X50" s="43">
        <f t="shared" si="38"/>
        <v>2600000</v>
      </c>
      <c r="Y50" s="43">
        <f t="shared" si="38"/>
        <v>2600000</v>
      </c>
      <c r="Z50" s="43">
        <f t="shared" si="38"/>
        <v>2700000</v>
      </c>
      <c r="AA50" s="43">
        <f t="shared" si="38"/>
        <v>2800000</v>
      </c>
      <c r="AB50" s="63"/>
    </row>
    <row r="51" spans="1:28" s="59" customFormat="1" ht="25.5" customHeight="1">
      <c r="A51" s="63"/>
      <c r="B51" s="80" t="s">
        <v>78</v>
      </c>
      <c r="C51" s="69" t="s">
        <v>7</v>
      </c>
      <c r="D51" s="119"/>
      <c r="E51" s="119"/>
      <c r="F51" s="222"/>
      <c r="G51" s="217"/>
      <c r="H51" s="119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63"/>
    </row>
    <row r="52" spans="1:28" s="59" customFormat="1" ht="25.5" customHeight="1">
      <c r="A52" s="63"/>
      <c r="B52" s="80" t="s">
        <v>79</v>
      </c>
      <c r="C52" s="69" t="s">
        <v>8</v>
      </c>
      <c r="D52" s="43"/>
      <c r="E52" s="43"/>
      <c r="F52" s="222"/>
      <c r="G52" s="217">
        <f t="shared" ref="G52" si="39">IF(F9&lt;=0,0,F9)</f>
        <v>0</v>
      </c>
      <c r="H52" s="119">
        <f>IF(G9&lt;=0,0,G9)</f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f t="shared" ref="U52:AA52" si="40">T9</f>
        <v>54553</v>
      </c>
      <c r="V52" s="43">
        <f>U9</f>
        <v>-2500000</v>
      </c>
      <c r="W52" s="43">
        <f t="shared" si="40"/>
        <v>-2600000</v>
      </c>
      <c r="X52" s="43">
        <f t="shared" si="40"/>
        <v>-2600000</v>
      </c>
      <c r="Y52" s="43">
        <f t="shared" si="40"/>
        <v>-2600000</v>
      </c>
      <c r="Z52" s="43">
        <f t="shared" si="40"/>
        <v>-2700000</v>
      </c>
      <c r="AA52" s="43">
        <f t="shared" si="40"/>
        <v>-2800000</v>
      </c>
      <c r="AB52" s="63"/>
    </row>
    <row r="53" spans="1:28" s="59" customFormat="1" ht="25.5" customHeight="1">
      <c r="A53" s="63"/>
      <c r="B53" s="80" t="s">
        <v>80</v>
      </c>
      <c r="C53" s="69" t="s">
        <v>9</v>
      </c>
      <c r="D53" s="119"/>
      <c r="E53" s="119"/>
      <c r="F53" s="222"/>
      <c r="G53" s="217">
        <v>2574058</v>
      </c>
      <c r="H53" s="119"/>
      <c r="I53" s="43">
        <v>0</v>
      </c>
      <c r="J53" s="43">
        <v>0</v>
      </c>
      <c r="K53" s="43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63"/>
    </row>
    <row r="54" spans="1:28" s="59" customFormat="1" ht="25.5" customHeight="1">
      <c r="A54" s="63"/>
      <c r="B54" s="80" t="s">
        <v>81</v>
      </c>
      <c r="C54" s="69" t="s">
        <v>10</v>
      </c>
      <c r="D54" s="125">
        <v>1750</v>
      </c>
      <c r="E54" s="125"/>
      <c r="F54" s="223"/>
      <c r="G54" s="251"/>
      <c r="H54" s="125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63"/>
    </row>
    <row r="55" spans="1:28" s="15" customFormat="1" ht="9.9499999999999993" customHeight="1">
      <c r="A55" s="63"/>
      <c r="B55" s="20"/>
      <c r="C55" s="21"/>
      <c r="D55" s="39"/>
      <c r="E55" s="39"/>
      <c r="F55" s="39"/>
      <c r="G55" s="252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54"/>
      <c r="X55" s="39"/>
      <c r="Y55" s="39"/>
      <c r="Z55" s="39"/>
      <c r="AA55" s="39"/>
      <c r="AB55" s="63"/>
    </row>
    <row r="56" spans="1:28" s="15" customFormat="1" ht="25.5" customHeight="1" thickBot="1">
      <c r="A56" s="63"/>
      <c r="B56" s="90" t="s">
        <v>82</v>
      </c>
      <c r="C56" s="74" t="s">
        <v>89</v>
      </c>
      <c r="D56" s="75">
        <f t="shared" ref="D56:E56" si="41">D58+D62+D63</f>
        <v>3696388</v>
      </c>
      <c r="E56" s="75">
        <f t="shared" si="41"/>
        <v>5922699</v>
      </c>
      <c r="F56" s="248">
        <f>F58+F62+F63</f>
        <v>6456093</v>
      </c>
      <c r="G56" s="253">
        <f t="shared" ref="G56:AA56" si="42">G58+G62+G63</f>
        <v>6998867</v>
      </c>
      <c r="H56" s="249">
        <f t="shared" si="42"/>
        <v>6160865</v>
      </c>
      <c r="I56" s="75">
        <f t="shared" si="42"/>
        <v>6329928</v>
      </c>
      <c r="J56" s="75">
        <f t="shared" si="42"/>
        <v>6912100</v>
      </c>
      <c r="K56" s="75">
        <f t="shared" si="42"/>
        <v>6818549</v>
      </c>
      <c r="L56" s="75">
        <f t="shared" si="42"/>
        <v>6789237</v>
      </c>
      <c r="M56" s="75">
        <f t="shared" si="42"/>
        <v>6738242</v>
      </c>
      <c r="N56" s="75">
        <f t="shared" si="42"/>
        <v>6641424</v>
      </c>
      <c r="O56" s="75">
        <f t="shared" si="42"/>
        <v>6621081</v>
      </c>
      <c r="P56" s="75">
        <f t="shared" si="42"/>
        <v>4621081</v>
      </c>
      <c r="Q56" s="75">
        <f t="shared" si="42"/>
        <v>4621081</v>
      </c>
      <c r="R56" s="75">
        <f t="shared" si="42"/>
        <v>4621081</v>
      </c>
      <c r="S56" s="75">
        <f t="shared" si="42"/>
        <v>4350356</v>
      </c>
      <c r="T56" s="75">
        <f t="shared" si="42"/>
        <v>54553</v>
      </c>
      <c r="U56" s="75">
        <f t="shared" si="42"/>
        <v>0</v>
      </c>
      <c r="V56" s="75">
        <f t="shared" si="42"/>
        <v>0</v>
      </c>
      <c r="W56" s="75">
        <f t="shared" si="42"/>
        <v>0</v>
      </c>
      <c r="X56" s="75">
        <f t="shared" si="42"/>
        <v>0</v>
      </c>
      <c r="Y56" s="75">
        <f t="shared" si="42"/>
        <v>0</v>
      </c>
      <c r="Z56" s="75">
        <f t="shared" si="42"/>
        <v>0</v>
      </c>
      <c r="AA56" s="75">
        <f t="shared" si="42"/>
        <v>0</v>
      </c>
      <c r="AB56" s="63"/>
    </row>
    <row r="57" spans="1:28" s="59" customFormat="1" ht="9.9499999999999993" customHeight="1" thickTop="1" thickBot="1">
      <c r="A57" s="63"/>
      <c r="B57" s="20"/>
      <c r="C57" s="23"/>
      <c r="D57" s="127"/>
      <c r="E57" s="39"/>
      <c r="F57" s="39"/>
      <c r="G57" s="242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54"/>
      <c r="X57" s="39"/>
      <c r="Y57" s="39"/>
      <c r="Z57" s="39"/>
      <c r="AA57" s="39"/>
      <c r="AB57" s="63"/>
    </row>
    <row r="58" spans="1:28" s="15" customFormat="1" ht="25.5" customHeight="1" thickTop="1">
      <c r="A58" s="63"/>
      <c r="B58" s="80" t="s">
        <v>83</v>
      </c>
      <c r="C58" s="69" t="s">
        <v>90</v>
      </c>
      <c r="D58" s="43">
        <f t="shared" ref="D58:E58" si="43">D59+D60+D61</f>
        <v>3696388</v>
      </c>
      <c r="E58" s="43">
        <f t="shared" si="43"/>
        <v>5922699</v>
      </c>
      <c r="F58" s="222">
        <f>F59+F60+F61</f>
        <v>6456093</v>
      </c>
      <c r="G58" s="250">
        <f t="shared" ref="G58:AA58" si="44">G59+G60+G61</f>
        <v>6998867</v>
      </c>
      <c r="H58" s="119">
        <f t="shared" si="44"/>
        <v>6160865</v>
      </c>
      <c r="I58" s="43">
        <f t="shared" si="44"/>
        <v>6329928</v>
      </c>
      <c r="J58" s="43">
        <f t="shared" si="44"/>
        <v>6912100</v>
      </c>
      <c r="K58" s="43">
        <f t="shared" si="44"/>
        <v>6818549</v>
      </c>
      <c r="L58" s="43">
        <f t="shared" si="44"/>
        <v>6789237</v>
      </c>
      <c r="M58" s="43">
        <f t="shared" si="44"/>
        <v>6738242</v>
      </c>
      <c r="N58" s="43">
        <f t="shared" si="44"/>
        <v>6641424</v>
      </c>
      <c r="O58" s="43">
        <f t="shared" si="44"/>
        <v>6621081</v>
      </c>
      <c r="P58" s="43">
        <f t="shared" si="44"/>
        <v>4621081</v>
      </c>
      <c r="Q58" s="43">
        <f t="shared" si="44"/>
        <v>4621081</v>
      </c>
      <c r="R58" s="43">
        <f t="shared" si="44"/>
        <v>4621081</v>
      </c>
      <c r="S58" s="43">
        <f t="shared" si="44"/>
        <v>4350356</v>
      </c>
      <c r="T58" s="43">
        <f t="shared" si="44"/>
        <v>54553</v>
      </c>
      <c r="U58" s="43">
        <f t="shared" si="44"/>
        <v>0</v>
      </c>
      <c r="V58" s="43">
        <f t="shared" si="44"/>
        <v>0</v>
      </c>
      <c r="W58" s="43">
        <f t="shared" si="44"/>
        <v>0</v>
      </c>
      <c r="X58" s="43">
        <f t="shared" si="44"/>
        <v>0</v>
      </c>
      <c r="Y58" s="43">
        <f t="shared" si="44"/>
        <v>0</v>
      </c>
      <c r="Z58" s="43">
        <f t="shared" si="44"/>
        <v>0</v>
      </c>
      <c r="AA58" s="43">
        <f t="shared" si="44"/>
        <v>0</v>
      </c>
      <c r="AB58" s="63"/>
    </row>
    <row r="59" spans="1:28" s="15" customFormat="1" ht="25.5" customHeight="1">
      <c r="A59" s="63"/>
      <c r="B59" s="80" t="s">
        <v>84</v>
      </c>
      <c r="C59" s="69" t="s">
        <v>91</v>
      </c>
      <c r="D59" s="119">
        <v>2200000</v>
      </c>
      <c r="E59" s="119">
        <v>2200000</v>
      </c>
      <c r="F59" s="222">
        <v>2200000</v>
      </c>
      <c r="G59" s="217">
        <v>0</v>
      </c>
      <c r="H59" s="119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63"/>
    </row>
    <row r="60" spans="1:28" s="15" customFormat="1" ht="25.5" customHeight="1">
      <c r="A60" s="63"/>
      <c r="B60" s="80" t="s">
        <v>85</v>
      </c>
      <c r="C60" s="69" t="s">
        <v>92</v>
      </c>
      <c r="D60" s="119">
        <v>496388</v>
      </c>
      <c r="E60" s="119">
        <v>722699</v>
      </c>
      <c r="F60" s="222">
        <v>706093</v>
      </c>
      <c r="G60" s="217">
        <v>698867</v>
      </c>
      <c r="H60" s="119">
        <f>'Planowane spłaty zobowiązań'!G8</f>
        <v>660865</v>
      </c>
      <c r="I60" s="119">
        <f>'Planowane spłaty zobowiązań'!H8</f>
        <v>829928</v>
      </c>
      <c r="J60" s="119">
        <f>'Planowane spłaty zobowiązań'!I8</f>
        <v>1012100</v>
      </c>
      <c r="K60" s="119">
        <f>'Planowane spłaty zobowiązań'!J8</f>
        <v>818549</v>
      </c>
      <c r="L60" s="119">
        <f>'Planowane spłaty zobowiązań'!K8</f>
        <v>789237</v>
      </c>
      <c r="M60" s="119">
        <f>'Planowane spłaty zobowiązań'!L8</f>
        <v>738242</v>
      </c>
      <c r="N60" s="119">
        <f>'Planowane spłaty zobowiązań'!M8</f>
        <v>641424</v>
      </c>
      <c r="O60" s="119">
        <f>'Planowane spłaty zobowiązań'!N8</f>
        <v>621081</v>
      </c>
      <c r="P60" s="119">
        <f>'Planowane spłaty zobowiązań'!O8</f>
        <v>621081</v>
      </c>
      <c r="Q60" s="119">
        <f>'Planowane spłaty zobowiązań'!P8</f>
        <v>621081</v>
      </c>
      <c r="R60" s="119">
        <f>'Planowane spłaty zobowiązań'!Q8</f>
        <v>621081</v>
      </c>
      <c r="S60" s="43">
        <v>392546</v>
      </c>
      <c r="T60" s="43">
        <v>54553</v>
      </c>
      <c r="U60" s="43"/>
      <c r="V60" s="43"/>
      <c r="W60" s="43"/>
      <c r="X60" s="43"/>
      <c r="Y60" s="43"/>
      <c r="Z60" s="43"/>
      <c r="AA60" s="43"/>
      <c r="AB60" s="63"/>
    </row>
    <row r="61" spans="1:28" s="15" customFormat="1" ht="25.5" customHeight="1">
      <c r="A61" s="63"/>
      <c r="B61" s="80" t="s">
        <v>86</v>
      </c>
      <c r="C61" s="69" t="s">
        <v>93</v>
      </c>
      <c r="D61" s="119">
        <v>1000000</v>
      </c>
      <c r="E61" s="119">
        <v>3000000</v>
      </c>
      <c r="F61" s="222">
        <v>3550000</v>
      </c>
      <c r="G61" s="217">
        <v>6300000</v>
      </c>
      <c r="H61" s="119">
        <f>'Planowane spłaty zobowiązań'!G27</f>
        <v>5500000</v>
      </c>
      <c r="I61" s="119">
        <f>'Planowane spłaty zobowiązań'!H27</f>
        <v>5500000</v>
      </c>
      <c r="J61" s="119">
        <f>'Planowane spłaty zobowiązań'!I27</f>
        <v>5900000</v>
      </c>
      <c r="K61" s="119">
        <f>'Planowane spłaty zobowiązań'!J27</f>
        <v>6000000</v>
      </c>
      <c r="L61" s="119">
        <f>'Planowane spłaty zobowiązań'!K27</f>
        <v>6000000</v>
      </c>
      <c r="M61" s="119">
        <f>'Planowane spłaty zobowiązań'!L27</f>
        <v>6000000</v>
      </c>
      <c r="N61" s="119">
        <f>'Planowane spłaty zobowiązań'!M27</f>
        <v>6000000</v>
      </c>
      <c r="O61" s="119">
        <f>'Planowane spłaty zobowiązań'!N27</f>
        <v>6000000</v>
      </c>
      <c r="P61" s="119">
        <v>4000000</v>
      </c>
      <c r="Q61" s="119">
        <v>4000000</v>
      </c>
      <c r="R61" s="119">
        <v>4000000</v>
      </c>
      <c r="S61" s="119">
        <v>3957810</v>
      </c>
      <c r="T61" s="119">
        <f>'Planowane spłaty zobowiązań'!S27</f>
        <v>0</v>
      </c>
      <c r="U61" s="43"/>
      <c r="V61" s="43"/>
      <c r="W61" s="43"/>
      <c r="X61" s="43"/>
      <c r="Y61" s="43"/>
      <c r="Z61" s="43"/>
      <c r="AA61" s="43"/>
      <c r="AB61" s="63"/>
    </row>
    <row r="62" spans="1:28" s="15" customFormat="1" ht="25.5" customHeight="1">
      <c r="A62" s="63"/>
      <c r="B62" s="80" t="s">
        <v>87</v>
      </c>
      <c r="C62" s="69" t="s">
        <v>94</v>
      </c>
      <c r="D62" s="119"/>
      <c r="E62" s="119"/>
      <c r="F62" s="222"/>
      <c r="G62" s="217"/>
      <c r="H62" s="11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63"/>
    </row>
    <row r="63" spans="1:28" s="15" customFormat="1" ht="25.5" customHeight="1" thickBot="1">
      <c r="A63" s="63"/>
      <c r="B63" s="80" t="s">
        <v>88</v>
      </c>
      <c r="C63" s="69" t="s">
        <v>95</v>
      </c>
      <c r="D63" s="119"/>
      <c r="E63" s="119"/>
      <c r="F63" s="222"/>
      <c r="G63" s="226"/>
      <c r="H63" s="119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63"/>
    </row>
    <row r="64" spans="1:28" s="59" customFormat="1" ht="9.9499999999999993" customHeight="1" thickTop="1" thickBot="1">
      <c r="A64" s="63"/>
      <c r="B64" s="20"/>
      <c r="C64" s="21"/>
      <c r="D64" s="39"/>
      <c r="E64" s="39"/>
      <c r="F64" s="39"/>
      <c r="G64" s="242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54"/>
      <c r="X64" s="39"/>
      <c r="Y64" s="39"/>
      <c r="Z64" s="39"/>
      <c r="AA64" s="39"/>
      <c r="AB64" s="63"/>
    </row>
    <row r="65" spans="1:28" s="15" customFormat="1" ht="25.5" customHeight="1" thickTop="1" thickBot="1">
      <c r="A65" s="63"/>
      <c r="B65" s="91" t="s">
        <v>96</v>
      </c>
      <c r="C65" s="24" t="s">
        <v>98</v>
      </c>
      <c r="D65" s="131">
        <v>32488617.789999999</v>
      </c>
      <c r="E65" s="131">
        <v>43071537.270000003</v>
      </c>
      <c r="F65" s="254">
        <v>46109828</v>
      </c>
      <c r="G65" s="255">
        <f>'Prognozowana kwota długu'!F39</f>
        <v>46110961</v>
      </c>
      <c r="H65" s="131">
        <f>'Prognozowana kwota długu'!G39</f>
        <v>48967610</v>
      </c>
      <c r="I65" s="131">
        <f>'Prognozowana kwota długu'!H39</f>
        <v>47924528</v>
      </c>
      <c r="J65" s="131">
        <f>'Prognozowana kwota długu'!I39</f>
        <v>41557958</v>
      </c>
      <c r="K65" s="131">
        <f>'Prognozowana kwota długu'!J39</f>
        <v>36358194</v>
      </c>
      <c r="L65" s="131">
        <f>'Prognozowana kwota długu'!K39</f>
        <v>31158430</v>
      </c>
      <c r="M65" s="131">
        <f>'Prognozowana kwota długu'!L39</f>
        <v>25958666</v>
      </c>
      <c r="N65" s="131">
        <f>'Prognozowana kwota długu'!M39</f>
        <v>21258902</v>
      </c>
      <c r="O65" s="131">
        <f>'Prognozowana kwota długu'!N39</f>
        <v>16559138</v>
      </c>
      <c r="P65" s="131">
        <f>'Prognozowana kwota długu'!O39</f>
        <v>11859374</v>
      </c>
      <c r="Q65" s="131">
        <f>'Prognozowana kwota długu'!P39</f>
        <v>11410817</v>
      </c>
      <c r="R65" s="131">
        <f>'Prognozowana kwota długu'!Q39</f>
        <v>4789736</v>
      </c>
      <c r="S65" s="131">
        <f>'Prognozowana kwota długu'!R39</f>
        <v>54553</v>
      </c>
      <c r="T65" s="131">
        <f>'Prognozowana kwota długu'!S39</f>
        <v>0</v>
      </c>
      <c r="U65" s="42"/>
      <c r="V65" s="42"/>
      <c r="W65" s="42"/>
      <c r="X65" s="42"/>
      <c r="Y65" s="42"/>
      <c r="Z65" s="42"/>
      <c r="AA65" s="42"/>
      <c r="AB65" s="63"/>
    </row>
    <row r="66" spans="1:28" s="15" customFormat="1" ht="9.9499999999999993" customHeight="1" thickTop="1" thickBot="1">
      <c r="A66" s="63"/>
      <c r="C66" s="17"/>
      <c r="D66" s="120"/>
      <c r="E66" s="36"/>
      <c r="F66" s="36"/>
      <c r="G66" s="259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3"/>
    </row>
    <row r="67" spans="1:28" s="15" customFormat="1" ht="25.5" customHeight="1" thickTop="1">
      <c r="A67" s="63"/>
      <c r="B67" s="80" t="s">
        <v>97</v>
      </c>
      <c r="C67" s="14" t="s">
        <v>126</v>
      </c>
      <c r="D67" s="128"/>
      <c r="E67" s="119"/>
      <c r="F67" s="256"/>
      <c r="G67" s="261"/>
      <c r="H67" s="119"/>
      <c r="I67" s="4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63"/>
    </row>
    <row r="68" spans="1:28" s="59" customFormat="1" ht="25.5" customHeight="1">
      <c r="A68" s="63"/>
      <c r="B68" s="80"/>
      <c r="C68" s="14" t="s">
        <v>11</v>
      </c>
      <c r="D68" s="129"/>
      <c r="E68" s="66"/>
      <c r="F68" s="257"/>
      <c r="G68" s="262"/>
      <c r="H68" s="258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63"/>
    </row>
    <row r="69" spans="1:28" s="59" customFormat="1" ht="25.5" customHeight="1">
      <c r="A69" s="63"/>
      <c r="B69" s="80"/>
      <c r="C69" s="14" t="s">
        <v>32</v>
      </c>
      <c r="D69" s="128"/>
      <c r="E69" s="119"/>
      <c r="F69" s="256"/>
      <c r="G69" s="263"/>
      <c r="H69" s="6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77" t="s">
        <v>12</v>
      </c>
      <c r="AA69" s="77" t="s">
        <v>12</v>
      </c>
      <c r="AB69" s="63"/>
    </row>
    <row r="70" spans="1:28" s="59" customFormat="1" ht="25.5" customHeight="1">
      <c r="A70" s="63"/>
      <c r="B70" s="80"/>
      <c r="C70" s="14" t="s">
        <v>33</v>
      </c>
      <c r="D70" s="128"/>
      <c r="E70" s="119"/>
      <c r="F70" s="256"/>
      <c r="G70" s="263"/>
      <c r="H70" s="6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77" t="s">
        <v>12</v>
      </c>
      <c r="AA70" s="77" t="s">
        <v>12</v>
      </c>
      <c r="AB70" s="63"/>
    </row>
    <row r="71" spans="1:28" s="59" customFormat="1" ht="25.5" customHeight="1">
      <c r="A71" s="63"/>
      <c r="B71" s="80"/>
      <c r="C71" s="14" t="s">
        <v>34</v>
      </c>
      <c r="D71" s="128"/>
      <c r="E71" s="119"/>
      <c r="F71" s="256"/>
      <c r="G71" s="263"/>
      <c r="H71" s="6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77" t="s">
        <v>12</v>
      </c>
      <c r="AA71" s="77" t="s">
        <v>12</v>
      </c>
      <c r="AB71" s="63"/>
    </row>
    <row r="72" spans="1:28" s="59" customFormat="1" ht="25.5" customHeight="1">
      <c r="A72" s="63"/>
      <c r="B72" s="80"/>
      <c r="C72" s="14" t="s">
        <v>26</v>
      </c>
      <c r="D72" s="128"/>
      <c r="E72" s="119"/>
      <c r="F72" s="256"/>
      <c r="G72" s="263"/>
      <c r="H72" s="6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63"/>
    </row>
    <row r="73" spans="1:28" s="59" customFormat="1" ht="25.5" customHeight="1" thickBot="1">
      <c r="A73" s="63"/>
      <c r="B73" s="80"/>
      <c r="C73" s="14" t="s">
        <v>35</v>
      </c>
      <c r="D73" s="128"/>
      <c r="E73" s="119"/>
      <c r="F73" s="256"/>
      <c r="G73" s="264"/>
      <c r="H73" s="6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63"/>
    </row>
    <row r="74" spans="1:28" s="59" customFormat="1" ht="9.9499999999999993" customHeight="1" thickTop="1">
      <c r="A74" s="63"/>
      <c r="B74" s="20"/>
      <c r="C74" s="20"/>
      <c r="D74" s="110">
        <f t="shared" ref="D74:E74" si="45">D7+D45-D8-D56</f>
        <v>-153571.30000001192</v>
      </c>
      <c r="E74" s="110">
        <f t="shared" si="45"/>
        <v>348486.12999999523</v>
      </c>
      <c r="F74" s="110">
        <f>F7+F45-F8-F56</f>
        <v>-2853626</v>
      </c>
      <c r="G74" s="260">
        <f t="shared" ref="G74:T74" si="46">G7+G45-G8-G56</f>
        <v>0</v>
      </c>
      <c r="H74" s="110">
        <f>H7+H45-H8-H56</f>
        <v>0</v>
      </c>
      <c r="I74" s="110">
        <f t="shared" si="46"/>
        <v>0</v>
      </c>
      <c r="J74" s="110">
        <f t="shared" si="46"/>
        <v>0</v>
      </c>
      <c r="K74" s="110">
        <f t="shared" si="46"/>
        <v>0</v>
      </c>
      <c r="L74" s="110">
        <f t="shared" si="46"/>
        <v>0</v>
      </c>
      <c r="M74" s="110">
        <f t="shared" si="46"/>
        <v>0</v>
      </c>
      <c r="N74" s="110">
        <f t="shared" si="46"/>
        <v>0</v>
      </c>
      <c r="O74" s="110">
        <f t="shared" si="46"/>
        <v>0</v>
      </c>
      <c r="P74" s="110">
        <f t="shared" si="46"/>
        <v>0</v>
      </c>
      <c r="Q74" s="110">
        <f t="shared" si="46"/>
        <v>0</v>
      </c>
      <c r="R74" s="110">
        <f t="shared" si="46"/>
        <v>0</v>
      </c>
      <c r="S74" s="110">
        <f t="shared" si="46"/>
        <v>0</v>
      </c>
      <c r="T74" s="110">
        <f t="shared" si="46"/>
        <v>0</v>
      </c>
      <c r="U74" s="97"/>
      <c r="V74" s="97"/>
      <c r="W74" s="97"/>
      <c r="X74" s="97"/>
      <c r="Y74" s="97"/>
      <c r="Z74" s="97"/>
      <c r="AA74" s="97"/>
      <c r="AB74" s="63"/>
    </row>
    <row r="75" spans="1:28" s="61" customFormat="1" ht="25.5" customHeight="1">
      <c r="A75" s="65"/>
      <c r="B75" s="92"/>
      <c r="C75" s="53" t="s">
        <v>13</v>
      </c>
      <c r="D75" s="117"/>
      <c r="E75" s="117"/>
      <c r="F75" s="4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68"/>
      <c r="AB75" s="65"/>
    </row>
    <row r="76" spans="1:28" s="61" customFormat="1" ht="25.5" customHeight="1">
      <c r="A76" s="65"/>
      <c r="B76" s="92"/>
      <c r="C76" s="26" t="s">
        <v>14</v>
      </c>
      <c r="D76" s="26"/>
      <c r="E76" s="26"/>
      <c r="F76" s="46" t="s">
        <v>15</v>
      </c>
      <c r="G76" s="46">
        <f>G38</f>
        <v>0</v>
      </c>
      <c r="H76" s="46">
        <f t="shared" ref="H76:AA76" si="47">H38</f>
        <v>3643355</v>
      </c>
      <c r="I76" s="46">
        <f t="shared" si="47"/>
        <v>2949971</v>
      </c>
      <c r="J76" s="46">
        <f t="shared" si="47"/>
        <v>5089399</v>
      </c>
      <c r="K76" s="46">
        <f t="shared" si="47"/>
        <v>6700000</v>
      </c>
      <c r="L76" s="46">
        <f t="shared" si="47"/>
        <v>5400000</v>
      </c>
      <c r="M76" s="46">
        <f t="shared" si="47"/>
        <v>4900000</v>
      </c>
      <c r="N76" s="46">
        <f t="shared" si="47"/>
        <v>5000000</v>
      </c>
      <c r="O76" s="46">
        <f t="shared" si="47"/>
        <v>5100000</v>
      </c>
      <c r="P76" s="46">
        <f t="shared" si="47"/>
        <v>2600000</v>
      </c>
      <c r="Q76" s="46">
        <f t="shared" si="47"/>
        <v>1870110</v>
      </c>
      <c r="R76" s="46">
        <f t="shared" si="47"/>
        <v>0</v>
      </c>
      <c r="S76" s="46">
        <f t="shared" si="47"/>
        <v>2515176</v>
      </c>
      <c r="T76" s="46">
        <f t="shared" si="47"/>
        <v>54553</v>
      </c>
      <c r="U76" s="46">
        <f t="shared" si="47"/>
        <v>-2500000</v>
      </c>
      <c r="V76" s="46">
        <f t="shared" si="47"/>
        <v>-2600000</v>
      </c>
      <c r="W76" s="46">
        <f t="shared" si="47"/>
        <v>-2600000</v>
      </c>
      <c r="X76" s="46">
        <f t="shared" si="47"/>
        <v>-2600000</v>
      </c>
      <c r="Y76" s="46">
        <f t="shared" si="47"/>
        <v>-2700000</v>
      </c>
      <c r="Z76" s="46">
        <f t="shared" si="47"/>
        <v>-2800000</v>
      </c>
      <c r="AA76" s="46">
        <f t="shared" si="47"/>
        <v>-3900000</v>
      </c>
      <c r="AB76" s="65"/>
    </row>
    <row r="77" spans="1:28" s="61" customFormat="1" ht="25.5" customHeight="1">
      <c r="A77" s="65"/>
      <c r="B77" s="92"/>
      <c r="C77" s="26" t="s">
        <v>16</v>
      </c>
      <c r="D77" s="26"/>
      <c r="E77" s="26"/>
      <c r="F77" s="46" t="s">
        <v>15</v>
      </c>
      <c r="G77" s="46">
        <f>G53</f>
        <v>2574058</v>
      </c>
      <c r="H77" s="46">
        <f t="shared" ref="H77:AA77" si="48">H53</f>
        <v>0</v>
      </c>
      <c r="I77" s="46">
        <f t="shared" si="48"/>
        <v>0</v>
      </c>
      <c r="J77" s="46">
        <f t="shared" si="48"/>
        <v>0</v>
      </c>
      <c r="K77" s="46">
        <f t="shared" si="48"/>
        <v>0</v>
      </c>
      <c r="L77" s="46">
        <f t="shared" si="48"/>
        <v>0</v>
      </c>
      <c r="M77" s="46">
        <f t="shared" si="48"/>
        <v>0</v>
      </c>
      <c r="N77" s="46">
        <f t="shared" si="48"/>
        <v>0</v>
      </c>
      <c r="O77" s="46">
        <f t="shared" si="48"/>
        <v>0</v>
      </c>
      <c r="P77" s="46">
        <f t="shared" si="48"/>
        <v>0</v>
      </c>
      <c r="Q77" s="46">
        <f t="shared" si="48"/>
        <v>0</v>
      </c>
      <c r="R77" s="46">
        <f t="shared" si="48"/>
        <v>0</v>
      </c>
      <c r="S77" s="46">
        <f t="shared" si="48"/>
        <v>0</v>
      </c>
      <c r="T77" s="46">
        <f t="shared" si="48"/>
        <v>0</v>
      </c>
      <c r="U77" s="46">
        <f t="shared" si="48"/>
        <v>0</v>
      </c>
      <c r="V77" s="46">
        <f t="shared" si="48"/>
        <v>0</v>
      </c>
      <c r="W77" s="46">
        <f t="shared" si="48"/>
        <v>0</v>
      </c>
      <c r="X77" s="46">
        <f t="shared" si="48"/>
        <v>0</v>
      </c>
      <c r="Y77" s="46">
        <f t="shared" si="48"/>
        <v>0</v>
      </c>
      <c r="Z77" s="46">
        <f t="shared" si="48"/>
        <v>0</v>
      </c>
      <c r="AA77" s="46">
        <f t="shared" si="48"/>
        <v>0</v>
      </c>
      <c r="AB77" s="65"/>
    </row>
    <row r="78" spans="1:28" s="61" customFormat="1" ht="25.5" customHeight="1">
      <c r="A78" s="65"/>
      <c r="B78" s="92"/>
      <c r="C78" s="26" t="s">
        <v>17</v>
      </c>
      <c r="D78" s="26"/>
      <c r="E78" s="26"/>
      <c r="F78" s="46"/>
      <c r="G78" s="46">
        <f>G76+G77</f>
        <v>2574058</v>
      </c>
      <c r="H78" s="46">
        <f t="shared" ref="H78:AA78" si="49">H76+H77</f>
        <v>3643355</v>
      </c>
      <c r="I78" s="46">
        <f t="shared" si="49"/>
        <v>2949971</v>
      </c>
      <c r="J78" s="46">
        <f t="shared" si="49"/>
        <v>5089399</v>
      </c>
      <c r="K78" s="46">
        <f t="shared" si="49"/>
        <v>6700000</v>
      </c>
      <c r="L78" s="46">
        <f t="shared" si="49"/>
        <v>5400000</v>
      </c>
      <c r="M78" s="46">
        <f t="shared" si="49"/>
        <v>4900000</v>
      </c>
      <c r="N78" s="46">
        <f t="shared" si="49"/>
        <v>5000000</v>
      </c>
      <c r="O78" s="46">
        <f t="shared" si="49"/>
        <v>5100000</v>
      </c>
      <c r="P78" s="46">
        <f t="shared" si="49"/>
        <v>2600000</v>
      </c>
      <c r="Q78" s="46">
        <f t="shared" si="49"/>
        <v>1870110</v>
      </c>
      <c r="R78" s="46">
        <f t="shared" si="49"/>
        <v>0</v>
      </c>
      <c r="S78" s="46">
        <f t="shared" si="49"/>
        <v>2515176</v>
      </c>
      <c r="T78" s="46">
        <f t="shared" si="49"/>
        <v>54553</v>
      </c>
      <c r="U78" s="46">
        <f t="shared" si="49"/>
        <v>-2500000</v>
      </c>
      <c r="V78" s="46">
        <f t="shared" si="49"/>
        <v>-2600000</v>
      </c>
      <c r="W78" s="46">
        <f t="shared" si="49"/>
        <v>-2600000</v>
      </c>
      <c r="X78" s="46">
        <f t="shared" si="49"/>
        <v>-2600000</v>
      </c>
      <c r="Y78" s="46">
        <f t="shared" si="49"/>
        <v>-2700000</v>
      </c>
      <c r="Z78" s="46">
        <f t="shared" si="49"/>
        <v>-2800000</v>
      </c>
      <c r="AA78" s="46">
        <f t="shared" si="49"/>
        <v>-3900000</v>
      </c>
      <c r="AB78" s="65"/>
    </row>
    <row r="79" spans="1:28" s="59" customFormat="1" ht="9.9499999999999993" customHeight="1">
      <c r="A79" s="63"/>
      <c r="B79" s="96"/>
      <c r="C79" s="97"/>
      <c r="D79" s="118"/>
      <c r="E79" s="118"/>
      <c r="F79" s="4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67"/>
      <c r="AB79" s="63"/>
    </row>
    <row r="80" spans="1:28" s="59" customFormat="1" ht="25.5" customHeight="1">
      <c r="A80" s="63"/>
      <c r="B80" s="105"/>
      <c r="C80" s="106" t="s">
        <v>18</v>
      </c>
      <c r="D80" s="106"/>
      <c r="E80" s="106"/>
      <c r="F80" s="4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67"/>
      <c r="AB80" s="63"/>
    </row>
    <row r="81" spans="1:28" s="59" customFormat="1" ht="9.9499999999999993" customHeight="1">
      <c r="A81" s="63"/>
      <c r="B81" s="98"/>
      <c r="C81" s="99"/>
      <c r="D81" s="99"/>
      <c r="E81" s="99"/>
      <c r="F81" s="4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67"/>
      <c r="AB81" s="63"/>
    </row>
    <row r="82" spans="1:28" s="59" customFormat="1" ht="25.5" customHeight="1">
      <c r="A82" s="63"/>
      <c r="B82" s="98"/>
      <c r="C82" s="111" t="s">
        <v>19</v>
      </c>
      <c r="D82" s="111"/>
      <c r="E82" s="111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67"/>
      <c r="AB82" s="63"/>
    </row>
    <row r="83" spans="1:28" s="59" customFormat="1" ht="9.9499999999999993" customHeight="1" thickBot="1">
      <c r="A83" s="63"/>
      <c r="B83" s="93"/>
      <c r="C83" s="95"/>
      <c r="D83" s="99"/>
      <c r="E83" s="99"/>
      <c r="F83" s="4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67"/>
      <c r="AB83" s="63"/>
    </row>
    <row r="84" spans="1:28" s="59" customFormat="1" ht="25.5" customHeight="1" thickTop="1">
      <c r="A84" s="63"/>
      <c r="B84" s="50"/>
      <c r="C84" s="8" t="s">
        <v>20</v>
      </c>
      <c r="D84" s="8"/>
      <c r="E84" s="8"/>
      <c r="F84" s="265"/>
      <c r="G84" s="269">
        <f>ROUND((SUM(G17+G19+G56)/G7*100),2)</f>
        <v>8.3000000000000007</v>
      </c>
      <c r="H84" s="270">
        <f t="shared" ref="H84:R84" si="50">ROUND((SUM(H17+H19+H56)/H7*100),2)</f>
        <v>6.79</v>
      </c>
      <c r="I84" s="271">
        <f t="shared" si="50"/>
        <v>7.21</v>
      </c>
      <c r="J84" s="271">
        <f t="shared" si="50"/>
        <v>8.52</v>
      </c>
      <c r="K84" s="271">
        <f t="shared" si="50"/>
        <v>7.74</v>
      </c>
      <c r="L84" s="271">
        <f t="shared" si="50"/>
        <v>7.16</v>
      </c>
      <c r="M84" s="271">
        <f t="shared" si="50"/>
        <v>6.42</v>
      </c>
      <c r="N84" s="271">
        <f t="shared" si="50"/>
        <v>6.13</v>
      </c>
      <c r="O84" s="271">
        <f t="shared" si="50"/>
        <v>5.76</v>
      </c>
      <c r="P84" s="271">
        <f t="shared" si="50"/>
        <v>4.5599999999999996</v>
      </c>
      <c r="Q84" s="271">
        <f t="shared" si="50"/>
        <v>3.66</v>
      </c>
      <c r="R84" s="271">
        <f t="shared" si="50"/>
        <v>2.56</v>
      </c>
      <c r="S84" s="2">
        <v>1.29</v>
      </c>
      <c r="T84" s="2">
        <v>1.29</v>
      </c>
      <c r="U84" s="2">
        <v>1.29</v>
      </c>
      <c r="V84" s="2">
        <v>1.29</v>
      </c>
      <c r="W84" s="2">
        <v>1.29</v>
      </c>
      <c r="X84" s="2">
        <v>1.29</v>
      </c>
      <c r="Y84" s="2">
        <v>1.29</v>
      </c>
      <c r="Z84" s="2" t="s">
        <v>12</v>
      </c>
      <c r="AA84" s="2" t="s">
        <v>12</v>
      </c>
      <c r="AB84" s="63"/>
    </row>
    <row r="85" spans="1:28" s="59" customFormat="1" ht="25.5" customHeight="1">
      <c r="A85" s="63"/>
      <c r="B85" s="50"/>
      <c r="C85" s="8" t="s">
        <v>21</v>
      </c>
      <c r="D85" s="8"/>
      <c r="E85" s="8"/>
      <c r="F85" s="265"/>
      <c r="G85" s="272"/>
      <c r="H85" s="270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"/>
      <c r="T85" s="2"/>
      <c r="U85" s="2"/>
      <c r="V85" s="2"/>
      <c r="W85" s="2"/>
      <c r="X85" s="2"/>
      <c r="Y85" s="2"/>
      <c r="Z85" s="2" t="s">
        <v>12</v>
      </c>
      <c r="AA85" s="2" t="s">
        <v>12</v>
      </c>
      <c r="AB85" s="63"/>
    </row>
    <row r="86" spans="1:28" s="59" customFormat="1" ht="25.5" customHeight="1">
      <c r="A86" s="63"/>
      <c r="B86" s="50"/>
      <c r="C86" s="8" t="s">
        <v>22</v>
      </c>
      <c r="D86" s="8"/>
      <c r="E86" s="8"/>
      <c r="F86" s="265"/>
      <c r="G86" s="272">
        <f t="shared" ref="G86:Y86" si="51">ROUND((G65/G7*100),2)</f>
        <v>28.11</v>
      </c>
      <c r="H86" s="270">
        <f t="shared" si="51"/>
        <v>25.24</v>
      </c>
      <c r="I86" s="271">
        <f t="shared" si="51"/>
        <v>25.47</v>
      </c>
      <c r="J86" s="271">
        <f t="shared" si="51"/>
        <v>25.23</v>
      </c>
      <c r="K86" s="271">
        <f t="shared" si="51"/>
        <v>21.16</v>
      </c>
      <c r="L86" s="271">
        <f t="shared" si="51"/>
        <v>17.63</v>
      </c>
      <c r="M86" s="271">
        <f t="shared" si="51"/>
        <v>14.57</v>
      </c>
      <c r="N86" s="271">
        <f t="shared" si="51"/>
        <v>11.76</v>
      </c>
      <c r="O86" s="271">
        <f t="shared" si="51"/>
        <v>8.98</v>
      </c>
      <c r="P86" s="271">
        <f t="shared" si="51"/>
        <v>6.31</v>
      </c>
      <c r="Q86" s="271">
        <f t="shared" si="51"/>
        <v>5.99</v>
      </c>
      <c r="R86" s="271">
        <f t="shared" si="51"/>
        <v>2.4500000000000002</v>
      </c>
      <c r="S86" s="2">
        <f t="shared" si="51"/>
        <v>0.03</v>
      </c>
      <c r="T86" s="2">
        <f t="shared" si="51"/>
        <v>0</v>
      </c>
      <c r="U86" s="2">
        <f t="shared" si="51"/>
        <v>0</v>
      </c>
      <c r="V86" s="2">
        <f t="shared" si="51"/>
        <v>0</v>
      </c>
      <c r="W86" s="2">
        <f t="shared" si="51"/>
        <v>0</v>
      </c>
      <c r="X86" s="2">
        <f t="shared" si="51"/>
        <v>0</v>
      </c>
      <c r="Y86" s="2">
        <f t="shared" si="51"/>
        <v>0</v>
      </c>
      <c r="Z86" s="2" t="s">
        <v>12</v>
      </c>
      <c r="AA86" s="2" t="s">
        <v>12</v>
      </c>
      <c r="AB86" s="63"/>
    </row>
    <row r="87" spans="1:28" s="59" customFormat="1" ht="25.5" customHeight="1" thickBot="1">
      <c r="A87" s="63"/>
      <c r="B87" s="50"/>
      <c r="C87" s="8" t="s">
        <v>23</v>
      </c>
      <c r="D87" s="8"/>
      <c r="E87" s="8"/>
      <c r="F87" s="265"/>
      <c r="G87" s="273"/>
      <c r="H87" s="270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"/>
      <c r="T87" s="2"/>
      <c r="U87" s="2"/>
      <c r="V87" s="2"/>
      <c r="W87" s="2"/>
      <c r="X87" s="2"/>
      <c r="Y87" s="2"/>
      <c r="Z87" s="2" t="s">
        <v>12</v>
      </c>
      <c r="AA87" s="2" t="s">
        <v>12</v>
      </c>
      <c r="AB87" s="63"/>
    </row>
    <row r="88" spans="1:28" s="59" customFormat="1" ht="12.75" customHeight="1" thickTop="1">
      <c r="A88" s="63"/>
      <c r="B88" s="96"/>
      <c r="C88" s="97"/>
      <c r="D88" s="118"/>
      <c r="E88" s="118"/>
      <c r="F88" s="4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3"/>
      <c r="T88" s="3"/>
      <c r="U88" s="3"/>
      <c r="V88" s="3"/>
      <c r="W88" s="3"/>
      <c r="X88" s="3"/>
      <c r="Y88" s="3"/>
      <c r="Z88" s="3"/>
      <c r="AA88" s="67"/>
      <c r="AB88" s="63"/>
    </row>
    <row r="89" spans="1:28" s="59" customFormat="1" ht="25.5" customHeight="1">
      <c r="A89" s="63"/>
      <c r="B89" s="98"/>
      <c r="C89" s="111" t="s">
        <v>24</v>
      </c>
      <c r="D89" s="111"/>
      <c r="E89" s="111"/>
      <c r="F89" s="112"/>
      <c r="G89" s="275"/>
      <c r="H89" s="275"/>
      <c r="I89" s="275"/>
      <c r="J89" s="274"/>
      <c r="K89" s="274"/>
      <c r="L89" s="274"/>
      <c r="M89" s="274"/>
      <c r="N89" s="274"/>
      <c r="O89" s="274"/>
      <c r="P89" s="274"/>
      <c r="Q89" s="274"/>
      <c r="R89" s="274"/>
      <c r="S89" s="3"/>
      <c r="T89" s="3"/>
      <c r="U89" s="3"/>
      <c r="V89" s="3"/>
      <c r="W89" s="3"/>
      <c r="X89" s="3"/>
      <c r="Y89" s="3"/>
      <c r="Z89" s="3"/>
      <c r="AA89" s="67"/>
      <c r="AB89" s="63"/>
    </row>
    <row r="90" spans="1:28" s="59" customFormat="1" ht="11.25" customHeight="1" thickBot="1">
      <c r="A90" s="63"/>
      <c r="B90" s="93"/>
      <c r="C90" s="100"/>
      <c r="D90" s="100"/>
      <c r="E90" s="100"/>
      <c r="F90" s="101"/>
      <c r="G90" s="276"/>
      <c r="H90" s="277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68"/>
      <c r="T90" s="268"/>
      <c r="U90" s="102"/>
      <c r="V90" s="102"/>
      <c r="W90" s="103"/>
      <c r="X90" s="103"/>
      <c r="Y90" s="103"/>
      <c r="Z90" s="103"/>
      <c r="AA90" s="104"/>
      <c r="AB90" s="63"/>
    </row>
    <row r="91" spans="1:28" s="59" customFormat="1" ht="25.5" customHeight="1" thickTop="1">
      <c r="A91" s="63"/>
      <c r="B91" s="93"/>
      <c r="C91" s="94" t="s">
        <v>119</v>
      </c>
      <c r="D91" s="133">
        <f t="shared" ref="D91:F91" si="52">ROUND(((D58++D19+D17)/D7),4)</f>
        <v>2.81E-2</v>
      </c>
      <c r="E91" s="133">
        <f t="shared" si="52"/>
        <v>4.3999999999999997E-2</v>
      </c>
      <c r="F91" s="266">
        <f t="shared" si="52"/>
        <v>7.51E-2</v>
      </c>
      <c r="G91" s="278">
        <f>ROUND(((G58++G19+G17)/G7),4)</f>
        <v>8.3000000000000004E-2</v>
      </c>
      <c r="H91" s="445">
        <f t="shared" ref="H91:R91" si="53">ROUND(((H58++H19+H17)/H7),4)</f>
        <v>6.7900000000000002E-2</v>
      </c>
      <c r="I91" s="454">
        <f>ROUND(((I58++I19+I17)/I7),4)</f>
        <v>7.2099999999999997E-2</v>
      </c>
      <c r="J91" s="455">
        <f t="shared" si="53"/>
        <v>8.5199999999999998E-2</v>
      </c>
      <c r="K91" s="455">
        <f t="shared" si="53"/>
        <v>7.7399999999999997E-2</v>
      </c>
      <c r="L91" s="455">
        <f>ROUND(((L58++L19+L17)/L7),4)</f>
        <v>7.1599999999999997E-2</v>
      </c>
      <c r="M91" s="455">
        <f t="shared" si="53"/>
        <v>6.4199999999999993E-2</v>
      </c>
      <c r="N91" s="455">
        <f t="shared" si="53"/>
        <v>6.13E-2</v>
      </c>
      <c r="O91" s="455">
        <f t="shared" si="53"/>
        <v>5.7599999999999998E-2</v>
      </c>
      <c r="P91" s="455">
        <f t="shared" si="53"/>
        <v>4.5600000000000002E-2</v>
      </c>
      <c r="Q91" s="455">
        <f t="shared" si="53"/>
        <v>3.6600000000000001E-2</v>
      </c>
      <c r="R91" s="455">
        <f t="shared" si="53"/>
        <v>2.5600000000000001E-2</v>
      </c>
      <c r="S91" s="892">
        <f t="shared" ref="S91:AA91" si="54">ROUND(((S58++S19+S17)/S7),2)</f>
        <v>0.02</v>
      </c>
      <c r="T91" s="893">
        <f t="shared" si="54"/>
        <v>0</v>
      </c>
      <c r="U91" s="447">
        <f t="shared" si="54"/>
        <v>0</v>
      </c>
      <c r="V91" s="56">
        <f t="shared" si="54"/>
        <v>0</v>
      </c>
      <c r="W91" s="56">
        <f t="shared" si="54"/>
        <v>0</v>
      </c>
      <c r="X91" s="56">
        <f t="shared" si="54"/>
        <v>0</v>
      </c>
      <c r="Y91" s="56">
        <f t="shared" si="54"/>
        <v>0</v>
      </c>
      <c r="Z91" s="56">
        <f t="shared" si="54"/>
        <v>0</v>
      </c>
      <c r="AA91" s="56">
        <f t="shared" si="54"/>
        <v>0</v>
      </c>
      <c r="AB91" s="63"/>
    </row>
    <row r="92" spans="1:28" s="59" customFormat="1" ht="25.5" customHeight="1">
      <c r="A92" s="63"/>
      <c r="B92" s="50"/>
      <c r="C92" s="9" t="s">
        <v>289</v>
      </c>
      <c r="D92" s="450" t="str">
        <f t="shared" ref="D92:E92" si="55">IF(D93&gt;=D91,"ok.","nok")</f>
        <v>ok.</v>
      </c>
      <c r="E92" s="450" t="str">
        <f t="shared" si="55"/>
        <v>ok.</v>
      </c>
      <c r="F92" s="451" t="str">
        <f>IF(F93&gt;=F91,"ok.","nok")</f>
        <v>nok</v>
      </c>
      <c r="G92" s="452" t="str">
        <f>IF(G91&lt;=G93,"ok.","nok")</f>
        <v>nok</v>
      </c>
      <c r="H92" s="453" t="str">
        <f t="shared" ref="H92:R92" si="56">IF(H91&lt;=H93,"ok.","nok")</f>
        <v>nok</v>
      </c>
      <c r="I92" s="456" t="str">
        <f>IF(I91&lt;=I93,"ok.","nok")</f>
        <v>ok.</v>
      </c>
      <c r="J92" s="457" t="str">
        <f t="shared" si="56"/>
        <v>ok.</v>
      </c>
      <c r="K92" s="457" t="str">
        <f t="shared" si="56"/>
        <v>ok.</v>
      </c>
      <c r="L92" s="457" t="str">
        <f t="shared" si="56"/>
        <v>ok.</v>
      </c>
      <c r="M92" s="457" t="str">
        <f t="shared" si="56"/>
        <v>ok.</v>
      </c>
      <c r="N92" s="457" t="str">
        <f t="shared" si="56"/>
        <v>ok.</v>
      </c>
      <c r="O92" s="457" t="str">
        <f>IF(O91&lt;=O93,"ok.","nok")</f>
        <v>ok.</v>
      </c>
      <c r="P92" s="457" t="str">
        <f t="shared" si="56"/>
        <v>ok.</v>
      </c>
      <c r="Q92" s="457" t="str">
        <f t="shared" si="56"/>
        <v>ok.</v>
      </c>
      <c r="R92" s="457" t="str">
        <f t="shared" si="56"/>
        <v>ok.</v>
      </c>
      <c r="S92" s="448" t="str">
        <f t="shared" ref="S92:AA92" si="57">IF(S93&gt;=S91,"ok.","nok")</f>
        <v>ok.</v>
      </c>
      <c r="T92" s="894" t="str">
        <f t="shared" si="57"/>
        <v>ok.</v>
      </c>
      <c r="U92" s="448" t="str">
        <f t="shared" si="57"/>
        <v>ok.</v>
      </c>
      <c r="V92" s="55" t="str">
        <f t="shared" si="57"/>
        <v>ok.</v>
      </c>
      <c r="W92" s="55" t="str">
        <f t="shared" si="57"/>
        <v>ok.</v>
      </c>
      <c r="X92" s="55" t="str">
        <f t="shared" si="57"/>
        <v>ok.</v>
      </c>
      <c r="Y92" s="55" t="str">
        <f t="shared" si="57"/>
        <v>ok.</v>
      </c>
      <c r="Z92" s="55" t="str">
        <f t="shared" si="57"/>
        <v>ok.</v>
      </c>
      <c r="AA92" s="55" t="str">
        <f t="shared" si="57"/>
        <v>ok.</v>
      </c>
      <c r="AB92" s="63"/>
    </row>
    <row r="93" spans="1:28" s="59" customFormat="1" ht="25.5" customHeight="1" thickBot="1">
      <c r="A93" s="63"/>
      <c r="B93" s="50"/>
      <c r="C93" s="9" t="s">
        <v>120</v>
      </c>
      <c r="D93" s="134">
        <f>ROUND((((0.0199)+(0.727392)+(0.02090675))/3),4)</f>
        <v>0.25609999999999999</v>
      </c>
      <c r="E93" s="134">
        <f>ROUND((((D11-D12+D24)/D7+(0.019934676)+(0.727392))/3),4)</f>
        <v>0.25829999999999997</v>
      </c>
      <c r="F93" s="267">
        <f>ROUND((((E11-E12+E24)/E7+(D11-D12+D24)/D7+(0.019934676))/3),4)</f>
        <v>1.38E-2</v>
      </c>
      <c r="G93" s="279">
        <f>ROUND((((F11-F12+F24)/F7+(E11-E12+E24)/E7+(D11-D12+D24)/D7)/3),4)</f>
        <v>2.6599999999999999E-2</v>
      </c>
      <c r="H93" s="446">
        <f t="shared" ref="H93:R93" si="58">ROUND((((G11-G12+G24)/G7+(F11-F12+F24)/F7+(E11-E12+E24)/E7)/3),4)</f>
        <v>3.78E-2</v>
      </c>
      <c r="I93" s="458">
        <f>ROUND((((H11-H12+H24)/H7+(G11-G12+G24)/G7+(F11-F12+F24)/F7)/3),4)</f>
        <v>7.5899999999999995E-2</v>
      </c>
      <c r="J93" s="459">
        <f>ROUND((((I11-I12+I24)/I7+(H11-H12+H24)/H7+(G11-G12+G24)/G7)/3),4)</f>
        <v>8.5400000000000004E-2</v>
      </c>
      <c r="K93" s="459">
        <f t="shared" si="58"/>
        <v>9.1399999999999995E-2</v>
      </c>
      <c r="L93" s="459">
        <f t="shared" si="58"/>
        <v>8.1100000000000005E-2</v>
      </c>
      <c r="M93" s="459">
        <f t="shared" si="58"/>
        <v>7.2700000000000001E-2</v>
      </c>
      <c r="N93" s="459">
        <f t="shared" si="58"/>
        <v>6.6799999999999998E-2</v>
      </c>
      <c r="O93" s="459">
        <f>ROUND((((N11-N12+N24)/N7+(M11-M12+M24)/M7+(L11-L12+L24)/L7)/3),4)</f>
        <v>6.0299999999999999E-2</v>
      </c>
      <c r="P93" s="459">
        <f t="shared" si="58"/>
        <v>5.8000000000000003E-2</v>
      </c>
      <c r="Q93" s="459">
        <f t="shared" si="58"/>
        <v>5.0900000000000001E-2</v>
      </c>
      <c r="R93" s="459">
        <f t="shared" si="58"/>
        <v>4.1700000000000001E-2</v>
      </c>
      <c r="S93" s="895">
        <f t="shared" ref="S93:AA93" si="59">ROUND((((R11-R12+R24)/R7+(Q11-Q12+Q24)/Q7+(P11-P12+P24)/P7)/3),2)</f>
        <v>0.03</v>
      </c>
      <c r="T93" s="896">
        <f t="shared" si="59"/>
        <v>0.03</v>
      </c>
      <c r="U93" s="449">
        <f t="shared" si="59"/>
        <v>0.03</v>
      </c>
      <c r="V93" s="2">
        <f t="shared" si="59"/>
        <v>0.02</v>
      </c>
      <c r="W93" s="2">
        <f t="shared" si="59"/>
        <v>0.02</v>
      </c>
      <c r="X93" s="2">
        <f t="shared" si="59"/>
        <v>0.01</v>
      </c>
      <c r="Y93" s="2">
        <f t="shared" si="59"/>
        <v>0.01</v>
      </c>
      <c r="Z93" s="2">
        <f t="shared" si="59"/>
        <v>0.01</v>
      </c>
      <c r="AA93" s="2">
        <f t="shared" si="59"/>
        <v>0.01</v>
      </c>
      <c r="AB93" s="63"/>
    </row>
    <row r="94" spans="1:28" s="59" customFormat="1" ht="9.9499999999999993" customHeight="1" thickTop="1">
      <c r="A94" s="63"/>
      <c r="B94" s="97"/>
      <c r="C94" s="107"/>
      <c r="D94" s="107"/>
      <c r="E94" s="107"/>
      <c r="F94" s="108"/>
      <c r="G94" s="268"/>
      <c r="H94" s="109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109"/>
      <c r="V94" s="109"/>
      <c r="W94" s="107"/>
      <c r="X94" s="107"/>
      <c r="Y94" s="107"/>
      <c r="Z94" s="107"/>
      <c r="AA94" s="107"/>
      <c r="AB94" s="63"/>
    </row>
    <row r="95" spans="1:28">
      <c r="C95" s="938" t="s">
        <v>25</v>
      </c>
      <c r="D95" s="938"/>
      <c r="E95" s="938"/>
      <c r="F95" s="938"/>
      <c r="G95" s="938"/>
      <c r="H95" s="938"/>
      <c r="I95" s="938"/>
      <c r="J95" s="938"/>
      <c r="K95" s="938"/>
      <c r="L95" s="938"/>
      <c r="M95" s="938"/>
      <c r="N95" s="938"/>
      <c r="O95" s="938"/>
      <c r="P95" s="938"/>
      <c r="Q95" s="938"/>
      <c r="R95" s="938"/>
      <c r="S95" s="938"/>
      <c r="T95" s="938"/>
      <c r="U95" s="938"/>
      <c r="V95" s="938"/>
      <c r="W95" s="938"/>
      <c r="X95" s="938"/>
      <c r="Y95" s="938"/>
      <c r="Z95" s="938"/>
      <c r="AA95" s="938"/>
    </row>
    <row r="96" spans="1:28" ht="12.75" customHeight="1">
      <c r="C96" s="927" t="s">
        <v>27</v>
      </c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927"/>
      <c r="O96" s="927"/>
      <c r="P96" s="927"/>
      <c r="Q96" s="927"/>
      <c r="R96" s="927"/>
      <c r="S96" s="927"/>
      <c r="T96" s="927"/>
      <c r="U96" s="927"/>
      <c r="V96" s="927"/>
      <c r="W96" s="927"/>
      <c r="X96" s="927"/>
      <c r="Y96" s="927"/>
      <c r="Z96" s="927"/>
      <c r="AA96" s="927"/>
    </row>
    <row r="97" spans="3:27" ht="12.75" customHeight="1">
      <c r="C97" s="927" t="s">
        <v>28</v>
      </c>
      <c r="D97" s="927"/>
      <c r="E97" s="927"/>
      <c r="F97" s="927"/>
      <c r="G97" s="927"/>
      <c r="H97" s="927"/>
      <c r="I97" s="927"/>
      <c r="J97" s="927"/>
      <c r="K97" s="927"/>
      <c r="L97" s="927"/>
      <c r="M97" s="927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</row>
    <row r="98" spans="3:27" ht="12.75" customHeight="1">
      <c r="C98" s="927" t="s">
        <v>29</v>
      </c>
      <c r="D98" s="927"/>
      <c r="E98" s="927"/>
      <c r="F98" s="927"/>
      <c r="G98" s="927"/>
      <c r="H98" s="927"/>
      <c r="I98" s="927"/>
      <c r="J98" s="927"/>
      <c r="K98" s="927"/>
      <c r="L98" s="927"/>
      <c r="M98" s="927"/>
      <c r="N98" s="927"/>
      <c r="O98" s="927"/>
      <c r="P98" s="927"/>
      <c r="Q98" s="927"/>
      <c r="R98" s="927"/>
      <c r="S98" s="927"/>
      <c r="T98" s="927"/>
      <c r="U98" s="927"/>
      <c r="V98" s="927"/>
      <c r="W98" s="927"/>
      <c r="X98" s="927"/>
      <c r="Y98" s="927"/>
      <c r="Z98" s="927"/>
      <c r="AA98" s="927"/>
    </row>
    <row r="99" spans="3:27" ht="12.75" customHeight="1">
      <c r="C99" s="927" t="s">
        <v>30</v>
      </c>
      <c r="D99" s="927"/>
      <c r="E99" s="927"/>
      <c r="F99" s="927"/>
      <c r="G99" s="927"/>
      <c r="H99" s="927"/>
      <c r="I99" s="927"/>
      <c r="J99" s="927"/>
      <c r="K99" s="927"/>
      <c r="L99" s="927"/>
      <c r="M99" s="927"/>
      <c r="N99" s="927"/>
      <c r="O99" s="927"/>
      <c r="P99" s="927"/>
      <c r="Q99" s="927"/>
      <c r="R99" s="927"/>
      <c r="S99" s="927"/>
      <c r="T99" s="927"/>
      <c r="U99" s="927"/>
      <c r="V99" s="927"/>
      <c r="W99" s="927"/>
      <c r="X99" s="927"/>
      <c r="Y99" s="927"/>
      <c r="Z99" s="927"/>
      <c r="AA99" s="927"/>
    </row>
    <row r="100" spans="3:27" ht="12.75" customHeight="1">
      <c r="C100" s="940" t="s">
        <v>31</v>
      </c>
      <c r="D100" s="940"/>
      <c r="E100" s="940"/>
      <c r="F100" s="940"/>
      <c r="G100" s="940"/>
      <c r="H100" s="940"/>
      <c r="I100" s="940"/>
      <c r="J100" s="940"/>
      <c r="K100" s="940"/>
      <c r="L100" s="940"/>
      <c r="M100" s="940"/>
      <c r="N100" s="940"/>
      <c r="O100" s="940"/>
      <c r="P100" s="940"/>
      <c r="Q100" s="940"/>
      <c r="R100" s="940"/>
      <c r="S100" s="940"/>
      <c r="T100" s="940"/>
      <c r="U100" s="940"/>
      <c r="V100" s="940"/>
      <c r="W100" s="940"/>
      <c r="X100" s="940"/>
      <c r="Y100" s="940"/>
      <c r="Z100" s="940"/>
      <c r="AA100" s="940"/>
    </row>
    <row r="101" spans="3:27" ht="12.75" customHeight="1">
      <c r="C101" s="113"/>
      <c r="D101" s="116"/>
      <c r="E101" s="116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</row>
    <row r="102" spans="3:27" ht="12.75" customHeight="1">
      <c r="C102" s="113"/>
      <c r="D102" s="116"/>
      <c r="E102" s="116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</row>
    <row r="103" spans="3:27" ht="12.75" customHeight="1">
      <c r="C103" s="115"/>
      <c r="D103" s="116"/>
      <c r="E103" s="116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3:27" ht="12.75" customHeight="1">
      <c r="C104" s="115"/>
      <c r="D104" s="116"/>
      <c r="E104" s="116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3:27" ht="12.75" customHeight="1">
      <c r="C105" s="113"/>
      <c r="D105" s="116"/>
      <c r="E105" s="116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</row>
    <row r="106" spans="3:27" ht="12.75" customHeight="1">
      <c r="C106" s="113"/>
      <c r="D106" s="116"/>
      <c r="E106" s="116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</row>
    <row r="107" spans="3:27" ht="12.75" customHeight="1">
      <c r="C107" s="113"/>
      <c r="D107" s="116"/>
      <c r="E107" s="116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</row>
    <row r="108" spans="3:27" ht="12.75" customHeight="1">
      <c r="C108" s="113"/>
      <c r="D108" s="116"/>
      <c r="E108" s="116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</row>
    <row r="109" spans="3:27">
      <c r="C109" s="114" t="s">
        <v>129</v>
      </c>
      <c r="D109" s="114"/>
      <c r="E109" s="114"/>
      <c r="Q109" s="939"/>
      <c r="R109" s="939"/>
    </row>
    <row r="110" spans="3:27"/>
    <row r="111" spans="3:27"/>
    <row r="112" spans="3:27"/>
    <row r="113" hidden="1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4">
    <mergeCell ref="Q109:R109"/>
    <mergeCell ref="C100:AA100"/>
    <mergeCell ref="C96:AA96"/>
    <mergeCell ref="C97:AA97"/>
    <mergeCell ref="C98:AA98"/>
    <mergeCell ref="AA3:AA4"/>
    <mergeCell ref="C2:C4"/>
    <mergeCell ref="F2:F4"/>
    <mergeCell ref="C99:AA99"/>
    <mergeCell ref="P1:R1"/>
    <mergeCell ref="G2:Z4"/>
    <mergeCell ref="C95:AA95"/>
    <mergeCell ref="D2:D4"/>
    <mergeCell ref="E2:E4"/>
  </mergeCells>
  <phoneticPr fontId="0" type="noConversion"/>
  <conditionalFormatting sqref="D92:R92">
    <cfRule type="containsText" dxfId="5" priority="2" operator="containsText" text="nok">
      <formula>NOT(ISERROR(SEARCH("nok",D92)))</formula>
    </cfRule>
  </conditionalFormatting>
  <pageMargins left="0" right="0" top="0.70866141732283472" bottom="0.27559055118110237" header="0.51181102362204722" footer="0.51181102362204722"/>
  <pageSetup paperSize="8" scale="36" orientation="portrait" r:id="rId2"/>
  <headerFooter alignWithMargins="0"/>
  <ignoredErrors>
    <ignoredError sqref="M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73" zoomScaleNormal="100" workbookViewId="0">
      <selection activeCell="P98" sqref="P98:S98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26561.565418181824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26561.57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26561.57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26561.57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26561.57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26561.57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26561.57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26561.57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26561.57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26561.57</v>
      </c>
      <c r="U13" s="1560"/>
      <c r="V13" s="1560"/>
      <c r="W13" s="1560"/>
    </row>
    <row r="14" spans="1:27" ht="14.1" customHeight="1">
      <c r="A14" s="1552">
        <v>11</v>
      </c>
      <c r="B14" s="1553"/>
      <c r="C14" s="1553"/>
      <c r="D14" s="1554">
        <f t="shared" si="0"/>
        <v>2014</v>
      </c>
      <c r="E14" s="1555"/>
      <c r="F14" s="1555"/>
      <c r="G14" s="1556"/>
      <c r="H14" s="1557" t="s">
        <v>347</v>
      </c>
      <c r="I14" s="1557"/>
      <c r="J14" s="1557"/>
      <c r="K14" s="1557"/>
      <c r="L14" s="1557"/>
      <c r="M14" s="1557"/>
      <c r="N14" s="1557"/>
      <c r="O14" s="1557"/>
      <c r="P14" s="1558">
        <f>'HSZ do groszy'!K45</f>
        <v>0</v>
      </c>
      <c r="Q14" s="1559"/>
      <c r="R14" s="1559"/>
      <c r="S14" s="1559"/>
      <c r="T14" s="1560">
        <f>ROUND(IPMT(($AA$3%+0.35%)/11,1,$D$171-$D$4+1,$P$172-(SUM($P$4:P13)))*-1,2)</f>
        <v>26561.57</v>
      </c>
      <c r="U14" s="1560"/>
      <c r="V14" s="1560"/>
      <c r="W14" s="1560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26561.57</v>
      </c>
      <c r="U15" s="1560"/>
      <c r="V15" s="1560"/>
      <c r="W15" s="1560"/>
      <c r="Y15" s="740">
        <f>SUM(T4:W15)</f>
        <v>318738.83541818184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26561.57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26561.57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26561.57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26561.57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26561.57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26561.57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26561.57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26561.57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26561.57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26561.57</v>
      </c>
      <c r="U25" s="1560"/>
      <c r="V25" s="1560"/>
      <c r="W25" s="1560"/>
      <c r="Y25" s="737"/>
      <c r="Z25" s="737"/>
    </row>
    <row r="26" spans="1:26" ht="14.1" customHeight="1">
      <c r="A26" s="1552">
        <v>23</v>
      </c>
      <c r="B26" s="1553"/>
      <c r="C26" s="1553"/>
      <c r="D26" s="1557">
        <f t="shared" si="1"/>
        <v>2015</v>
      </c>
      <c r="E26" s="1557"/>
      <c r="F26" s="1557"/>
      <c r="G26" s="1557"/>
      <c r="H26" s="1557" t="s">
        <v>347</v>
      </c>
      <c r="I26" s="1557"/>
      <c r="J26" s="1557"/>
      <c r="K26" s="1557"/>
      <c r="L26" s="1557"/>
      <c r="M26" s="1557"/>
      <c r="N26" s="1557"/>
      <c r="O26" s="1557"/>
      <c r="P26" s="1558">
        <f>'HSZ do groszy'!M45</f>
        <v>0</v>
      </c>
      <c r="Q26" s="1559"/>
      <c r="R26" s="1559"/>
      <c r="S26" s="1559"/>
      <c r="T26" s="1560">
        <f>ROUND(IPMT(($AA$3%+0.35%)/11,1,$D$171-$D$16+1,$P$172-(SUM($P$4:P25)))*-1,2)</f>
        <v>26561.57</v>
      </c>
      <c r="U26" s="1560"/>
      <c r="V26" s="1560"/>
      <c r="W26" s="1560"/>
      <c r="Y26" s="737"/>
      <c r="Z26" s="737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26561.57</v>
      </c>
      <c r="U27" s="1560"/>
      <c r="V27" s="1560"/>
      <c r="W27" s="1560"/>
      <c r="Y27" s="740">
        <f>SUM(T16:W27)</f>
        <v>318738.84000000003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26561.57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26561.57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26561.57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26561.57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26561.57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26561.57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26561.57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26561.57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26561.57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26561.57</v>
      </c>
      <c r="U37" s="1560"/>
      <c r="V37" s="1560"/>
      <c r="W37" s="1560"/>
      <c r="Y37" s="737"/>
      <c r="Z37" s="737"/>
    </row>
    <row r="38" spans="1:26" ht="14.1" customHeight="1">
      <c r="A38" s="1552">
        <v>35</v>
      </c>
      <c r="B38" s="1553"/>
      <c r="C38" s="1553"/>
      <c r="D38" s="1557">
        <f t="shared" si="2"/>
        <v>2016</v>
      </c>
      <c r="E38" s="1557"/>
      <c r="F38" s="1557"/>
      <c r="G38" s="1557"/>
      <c r="H38" s="1557" t="s">
        <v>347</v>
      </c>
      <c r="I38" s="1557"/>
      <c r="J38" s="1557"/>
      <c r="K38" s="1557"/>
      <c r="L38" s="1557"/>
      <c r="M38" s="1557"/>
      <c r="N38" s="1557"/>
      <c r="O38" s="1557"/>
      <c r="P38" s="1558">
        <f>'HSZ do groszy'!O45</f>
        <v>0</v>
      </c>
      <c r="Q38" s="1559"/>
      <c r="R38" s="1559"/>
      <c r="S38" s="1559"/>
      <c r="T38" s="1560">
        <f>ROUND(IPMT(($AA$3%+0.35%)/11,1,$D$171-$D$28+1,$P$172-(SUM($P$4:P37)))*-1,2)</f>
        <v>26561.57</v>
      </c>
      <c r="U38" s="1560"/>
      <c r="V38" s="1560"/>
      <c r="W38" s="1560"/>
      <c r="Y38" s="737"/>
      <c r="Z38" s="737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26561.57</v>
      </c>
      <c r="U39" s="1560"/>
      <c r="V39" s="1560"/>
      <c r="W39" s="1560"/>
      <c r="Y39" s="740">
        <f>SUM(T28:W39)</f>
        <v>318738.84000000003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26561.57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26561.57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26561.57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26561.57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26561.57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26561.57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26561.57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26561.57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26561.57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26561.57</v>
      </c>
      <c r="U49" s="1560"/>
      <c r="V49" s="1560"/>
      <c r="W49" s="1560"/>
      <c r="Y49" s="737"/>
      <c r="Z49" s="737"/>
    </row>
    <row r="50" spans="1:26" ht="14.1" customHeight="1">
      <c r="A50" s="1552">
        <v>47</v>
      </c>
      <c r="B50" s="1553"/>
      <c r="C50" s="1553"/>
      <c r="D50" s="1557">
        <f t="shared" si="3"/>
        <v>2017</v>
      </c>
      <c r="E50" s="1557"/>
      <c r="F50" s="1557"/>
      <c r="G50" s="1557"/>
      <c r="H50" s="1557" t="s">
        <v>347</v>
      </c>
      <c r="I50" s="1557"/>
      <c r="J50" s="1557"/>
      <c r="K50" s="1557"/>
      <c r="L50" s="1557"/>
      <c r="M50" s="1557"/>
      <c r="N50" s="1557"/>
      <c r="O50" s="1557"/>
      <c r="P50" s="1558">
        <f>'HSZ do groszy'!Q45</f>
        <v>0</v>
      </c>
      <c r="Q50" s="1559"/>
      <c r="R50" s="1559"/>
      <c r="S50" s="1559"/>
      <c r="T50" s="1560">
        <f>ROUND(IPMT(($AA$3%+0.35%)/11,1,$D$171-$D$40+1,$P$172-(SUM($P$4:P49)))*-1,2)</f>
        <v>26561.57</v>
      </c>
      <c r="U50" s="1560"/>
      <c r="V50" s="1560"/>
      <c r="W50" s="1560"/>
      <c r="Y50" s="737"/>
      <c r="Z50" s="737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26561.57</v>
      </c>
      <c r="U51" s="1560"/>
      <c r="V51" s="1560"/>
      <c r="W51" s="1560"/>
      <c r="Y51" s="740">
        <f>SUM(T40:W51)</f>
        <v>318738.84000000003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26561.57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26561.57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26561.57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26561.57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26561.57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26561.57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26561.57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26561.57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26561.57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26561.57</v>
      </c>
      <c r="U61" s="1560"/>
      <c r="V61" s="1560"/>
      <c r="W61" s="1560"/>
      <c r="Y61" s="737"/>
      <c r="Z61" s="737"/>
    </row>
    <row r="62" spans="1:26" ht="14.1" customHeight="1">
      <c r="A62" s="1552">
        <v>59</v>
      </c>
      <c r="B62" s="1553"/>
      <c r="C62" s="1553"/>
      <c r="D62" s="1557">
        <f t="shared" si="4"/>
        <v>2018</v>
      </c>
      <c r="E62" s="1557"/>
      <c r="F62" s="1557"/>
      <c r="G62" s="1557"/>
      <c r="H62" s="1557" t="s">
        <v>347</v>
      </c>
      <c r="I62" s="1557"/>
      <c r="J62" s="1557"/>
      <c r="K62" s="1557"/>
      <c r="L62" s="1557"/>
      <c r="M62" s="1557"/>
      <c r="N62" s="1557"/>
      <c r="O62" s="1557"/>
      <c r="P62" s="1558">
        <f>'HSZ do groszy'!S45</f>
        <v>0</v>
      </c>
      <c r="Q62" s="1559"/>
      <c r="R62" s="1559"/>
      <c r="S62" s="1559"/>
      <c r="T62" s="1560">
        <f>ROUND(IPMT(($AA$3%+0.35%)/11,1,$D$171-$D$52+1,$P$172-(SUM($P$4:P61)))*-1,2)</f>
        <v>26561.57</v>
      </c>
      <c r="U62" s="1560"/>
      <c r="V62" s="1560"/>
      <c r="W62" s="1560"/>
      <c r="Y62" s="737"/>
      <c r="Z62" s="737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26561.57</v>
      </c>
      <c r="U63" s="1560"/>
      <c r="V63" s="1560"/>
      <c r="W63" s="1560"/>
      <c r="Y63" s="740">
        <f>SUM(T52:W63)</f>
        <v>318738.84000000003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26561.57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26561.57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26561.57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26561.57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26561.57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26561.57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26561.57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26561.57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26561.57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26561.57</v>
      </c>
      <c r="U73" s="1560"/>
      <c r="V73" s="1560"/>
      <c r="W73" s="1560"/>
      <c r="Y73" s="737"/>
      <c r="Z73" s="737"/>
    </row>
    <row r="74" spans="1:26" ht="14.1" customHeight="1">
      <c r="A74" s="1552">
        <v>23</v>
      </c>
      <c r="B74" s="1553"/>
      <c r="C74" s="1553"/>
      <c r="D74" s="1557">
        <f t="shared" si="5"/>
        <v>2019</v>
      </c>
      <c r="E74" s="1557"/>
      <c r="F74" s="1557"/>
      <c r="G74" s="1557"/>
      <c r="H74" s="1557" t="s">
        <v>347</v>
      </c>
      <c r="I74" s="1557"/>
      <c r="J74" s="1557"/>
      <c r="K74" s="1557"/>
      <c r="L74" s="1557"/>
      <c r="M74" s="1557"/>
      <c r="N74" s="1557"/>
      <c r="O74" s="1557"/>
      <c r="P74" s="1558">
        <f>'HSZ do groszy'!U45</f>
        <v>0</v>
      </c>
      <c r="Q74" s="1559"/>
      <c r="R74" s="1559"/>
      <c r="S74" s="1559"/>
      <c r="T74" s="1560">
        <f>ROUND(IPMT(($AA$3%+0.35%)/11,1,$D$171-$D$64+1,$P$172-(SUM($P$4:P73)))*-1,2)</f>
        <v>26561.57</v>
      </c>
      <c r="U74" s="1560"/>
      <c r="V74" s="1560"/>
      <c r="W74" s="1560"/>
      <c r="Y74" s="737"/>
      <c r="Z74" s="737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26561.57</v>
      </c>
      <c r="U75" s="1560"/>
      <c r="V75" s="1560"/>
      <c r="W75" s="1560"/>
      <c r="Y75" s="740">
        <f>SUM(T64:W75)</f>
        <v>318738.84000000003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26561.57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26561.57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26561.57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26561.57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26561.57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26561.57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26561.57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26561.57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26561.57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26561.57</v>
      </c>
      <c r="U85" s="1560"/>
      <c r="V85" s="1560"/>
      <c r="W85" s="1560"/>
      <c r="Y85" s="737"/>
      <c r="Z85" s="737"/>
    </row>
    <row r="86" spans="1:26" ht="14.1" customHeight="1">
      <c r="A86" s="1552">
        <v>23</v>
      </c>
      <c r="B86" s="1553"/>
      <c r="C86" s="1553"/>
      <c r="D86" s="1557">
        <f t="shared" si="6"/>
        <v>2020</v>
      </c>
      <c r="E86" s="1557"/>
      <c r="F86" s="1557"/>
      <c r="G86" s="1557"/>
      <c r="H86" s="1557" t="s">
        <v>347</v>
      </c>
      <c r="I86" s="1557"/>
      <c r="J86" s="1557"/>
      <c r="K86" s="1557"/>
      <c r="L86" s="1557"/>
      <c r="M86" s="1557"/>
      <c r="N86" s="1557"/>
      <c r="O86" s="1557"/>
      <c r="P86" s="1558">
        <f>'HSZ do groszy'!W45</f>
        <v>3000000</v>
      </c>
      <c r="Q86" s="1559"/>
      <c r="R86" s="1559"/>
      <c r="S86" s="1559"/>
      <c r="T86" s="1560">
        <f>ROUND(IPMT(($AA$3%+0.35%)/11,1,$D$171-$D$76+1,$P$172-(SUM($P$4:P85)))*-1,2)</f>
        <v>26561.57</v>
      </c>
      <c r="U86" s="1560"/>
      <c r="V86" s="1560"/>
      <c r="W86" s="1560"/>
      <c r="Y86" s="737"/>
      <c r="Z86" s="737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14725.2</v>
      </c>
      <c r="U87" s="1560"/>
      <c r="V87" s="1560"/>
      <c r="W87" s="1560"/>
      <c r="Y87" s="740">
        <f>SUM(T76:W87)</f>
        <v>306902.47000000003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14725.2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14725.2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14725.2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14725.2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14725.2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14725.2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14725.2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14725.2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14725.2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14725.2</v>
      </c>
      <c r="U97" s="1560"/>
      <c r="V97" s="1560"/>
      <c r="W97" s="1560"/>
      <c r="Y97" s="737"/>
      <c r="Z97" s="737"/>
    </row>
    <row r="98" spans="1:26" ht="14.1" customHeight="1">
      <c r="A98" s="1552">
        <v>23</v>
      </c>
      <c r="B98" s="1553"/>
      <c r="C98" s="1553"/>
      <c r="D98" s="1557">
        <f t="shared" si="7"/>
        <v>2021</v>
      </c>
      <c r="E98" s="1557"/>
      <c r="F98" s="1557"/>
      <c r="G98" s="1557"/>
      <c r="H98" s="1557" t="s">
        <v>347</v>
      </c>
      <c r="I98" s="1557"/>
      <c r="J98" s="1557"/>
      <c r="K98" s="1557"/>
      <c r="L98" s="1557"/>
      <c r="M98" s="1557"/>
      <c r="N98" s="1557"/>
      <c r="O98" s="1557"/>
      <c r="P98" s="1558">
        <f>'HSZ do groszy'!Y45</f>
        <v>3732194</v>
      </c>
      <c r="Q98" s="1559"/>
      <c r="R98" s="1559"/>
      <c r="S98" s="1559"/>
      <c r="T98" s="1560">
        <f>ROUND(IPMT(($AA$3%+0.35%)/11,1,$D$171-$D$88+1,$P$172-(SUM($P$4:P97)))*-1,2)</f>
        <v>14725.2</v>
      </c>
      <c r="U98" s="1560"/>
      <c r="V98" s="1560"/>
      <c r="W98" s="1560"/>
      <c r="Y98" s="737"/>
      <c r="Z98" s="737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0</v>
      </c>
      <c r="U99" s="1560"/>
      <c r="V99" s="1560"/>
      <c r="W99" s="1560"/>
      <c r="Y99" s="740">
        <f>SUM(T88:W99)</f>
        <v>161977.20000000001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0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0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0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0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0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0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0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0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0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0</v>
      </c>
      <c r="U109" s="1560"/>
      <c r="V109" s="1560"/>
      <c r="W109" s="1560"/>
      <c r="Y109" s="739"/>
      <c r="Z109" s="737"/>
    </row>
    <row r="110" spans="1:26" ht="14.1" customHeight="1">
      <c r="A110" s="1552">
        <v>71</v>
      </c>
      <c r="B110" s="1553"/>
      <c r="C110" s="1553"/>
      <c r="D110" s="1557">
        <f t="shared" si="8"/>
        <v>2022</v>
      </c>
      <c r="E110" s="1557"/>
      <c r="F110" s="1557"/>
      <c r="G110" s="1557"/>
      <c r="H110" s="1557" t="s">
        <v>347</v>
      </c>
      <c r="I110" s="1557"/>
      <c r="J110" s="1557"/>
      <c r="K110" s="1557"/>
      <c r="L110" s="1557"/>
      <c r="M110" s="1557"/>
      <c r="N110" s="1557"/>
      <c r="O110" s="1557"/>
      <c r="P110" s="1558">
        <f>'HSZ do groszy'!AA45</f>
        <v>0</v>
      </c>
      <c r="Q110" s="1559"/>
      <c r="R110" s="1559"/>
      <c r="S110" s="1559"/>
      <c r="T110" s="1560">
        <f>ROUND(IPMT(($AA$3%+0.35%)/11,1,$D$171-$D$160+1,$P$172-(SUM($P$4:P109)))*-1,2)</f>
        <v>0</v>
      </c>
      <c r="U110" s="1560"/>
      <c r="V110" s="1560"/>
      <c r="W110" s="1560"/>
      <c r="Y110" s="739"/>
      <c r="Z110" s="737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0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ht="14.1" customHeight="1">
      <c r="A122" s="1552">
        <v>71</v>
      </c>
      <c r="B122" s="1553"/>
      <c r="C122" s="1553"/>
      <c r="D122" s="1557">
        <f t="shared" si="9"/>
        <v>2023</v>
      </c>
      <c r="E122" s="1557"/>
      <c r="F122" s="1557"/>
      <c r="G122" s="1557"/>
      <c r="H122" s="1557" t="s">
        <v>347</v>
      </c>
      <c r="I122" s="1557"/>
      <c r="J122" s="1557"/>
      <c r="K122" s="1557"/>
      <c r="L122" s="1557"/>
      <c r="M122" s="1557"/>
      <c r="N122" s="1557"/>
      <c r="O122" s="1557"/>
      <c r="P122" s="1558">
        <f>'HSZ do groszy'!AC45</f>
        <v>0</v>
      </c>
      <c r="Q122" s="1559"/>
      <c r="R122" s="1559"/>
      <c r="S122" s="1559"/>
      <c r="T122" s="1560">
        <f>ROUND(IPMT(($AA$3%+0.35%)/11,1,$D$171-$D$160+1,$P$172-(SUM($P$4:P121)))*-1,2)</f>
        <v>0</v>
      </c>
      <c r="U122" s="1560"/>
      <c r="V122" s="1560"/>
      <c r="W122" s="1560"/>
      <c r="Y122" s="739"/>
      <c r="Z122" s="737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ht="14.1" customHeight="1">
      <c r="A134" s="1552">
        <v>71</v>
      </c>
      <c r="B134" s="1553"/>
      <c r="C134" s="1553"/>
      <c r="D134" s="1557">
        <f t="shared" si="10"/>
        <v>2024</v>
      </c>
      <c r="E134" s="1557"/>
      <c r="F134" s="1557"/>
      <c r="G134" s="1557"/>
      <c r="H134" s="1557" t="s">
        <v>347</v>
      </c>
      <c r="I134" s="1557"/>
      <c r="J134" s="1557"/>
      <c r="K134" s="1557"/>
      <c r="L134" s="1557"/>
      <c r="M134" s="1557"/>
      <c r="N134" s="1557"/>
      <c r="O134" s="1557"/>
      <c r="P134" s="1558">
        <f>'HSZ do groszy'!AE45</f>
        <v>0</v>
      </c>
      <c r="Q134" s="1559"/>
      <c r="R134" s="1559"/>
      <c r="S134" s="1559"/>
      <c r="T134" s="1560">
        <f>ROUND(IPMT(($AA$3%+0.35%)/11,1,$D$171-$D$160+1,$P$172-(SUM($P$4:P133)))*-1,2)</f>
        <v>0</v>
      </c>
      <c r="U134" s="1560"/>
      <c r="V134" s="1560"/>
      <c r="W134" s="1560"/>
      <c r="Y134" s="739"/>
      <c r="Z134" s="737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ht="14.1" customHeight="1">
      <c r="A146" s="1552">
        <v>71</v>
      </c>
      <c r="B146" s="1553"/>
      <c r="C146" s="1553"/>
      <c r="D146" s="1557">
        <f t="shared" si="11"/>
        <v>2025</v>
      </c>
      <c r="E146" s="1557"/>
      <c r="F146" s="1557"/>
      <c r="G146" s="1557"/>
      <c r="H146" s="1557" t="s">
        <v>347</v>
      </c>
      <c r="I146" s="1557"/>
      <c r="J146" s="1557"/>
      <c r="K146" s="1557"/>
      <c r="L146" s="1557"/>
      <c r="M146" s="1557"/>
      <c r="N146" s="1557"/>
      <c r="O146" s="1557"/>
      <c r="P146" s="1558">
        <f>'HSZ do groszy'!AG45</f>
        <v>0</v>
      </c>
      <c r="Q146" s="1559"/>
      <c r="R146" s="1559"/>
      <c r="S146" s="1559"/>
      <c r="T146" s="1560">
        <f>ROUND(IPMT(($AA$3%+0.35%)/11,1,$D$171-$D$160+1,$P$172-(SUM($P$4:P145)))*-1,2)</f>
        <v>0</v>
      </c>
      <c r="U146" s="1560"/>
      <c r="V146" s="1560"/>
      <c r="W146" s="1560"/>
      <c r="Y146" s="739"/>
      <c r="Z146" s="737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ht="14.1" customHeight="1">
      <c r="A158" s="1552">
        <v>71</v>
      </c>
      <c r="B158" s="1553"/>
      <c r="C158" s="1553"/>
      <c r="D158" s="1557">
        <f t="shared" si="12"/>
        <v>2026</v>
      </c>
      <c r="E158" s="1557"/>
      <c r="F158" s="1557"/>
      <c r="G158" s="1557"/>
      <c r="H158" s="1557" t="s">
        <v>347</v>
      </c>
      <c r="I158" s="1557"/>
      <c r="J158" s="1557"/>
      <c r="K158" s="1557"/>
      <c r="L158" s="1557"/>
      <c r="M158" s="1557"/>
      <c r="N158" s="1557"/>
      <c r="O158" s="1557"/>
      <c r="P158" s="1558">
        <v>0</v>
      </c>
      <c r="Q158" s="1559"/>
      <c r="R158" s="1559"/>
      <c r="S158" s="1559"/>
      <c r="T158" s="1560">
        <f>ROUND(IPMT(($AA$3%+0.35%)/11,1,$D$171-$D$160+1,$P$172-(SUM($P$4:P157)))*-1,2)</f>
        <v>0</v>
      </c>
      <c r="U158" s="1560"/>
      <c r="V158" s="1560"/>
      <c r="W158" s="1560"/>
      <c r="Y158" s="739"/>
      <c r="Z158" s="737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ht="14.1" customHeight="1">
      <c r="A170" s="1552">
        <v>71</v>
      </c>
      <c r="B170" s="1553"/>
      <c r="C170" s="1553"/>
      <c r="D170" s="1557">
        <f t="shared" si="13"/>
        <v>2027</v>
      </c>
      <c r="E170" s="1557"/>
      <c r="F170" s="1557"/>
      <c r="G170" s="1557"/>
      <c r="H170" s="1557" t="s">
        <v>347</v>
      </c>
      <c r="I170" s="1557"/>
      <c r="J170" s="1557"/>
      <c r="K170" s="1557"/>
      <c r="L170" s="1557"/>
      <c r="M170" s="1557"/>
      <c r="N170" s="1557"/>
      <c r="O170" s="1557"/>
      <c r="P170" s="1558">
        <v>0</v>
      </c>
      <c r="Q170" s="1559"/>
      <c r="R170" s="1559"/>
      <c r="S170" s="1559"/>
      <c r="T170" s="1560">
        <f>ROUND(IPMT(($AA$3%+0.35%)/11,1,$D$171-$D$160+1,$P$172-(SUM($P$4:P169)))*-1,2)</f>
        <v>0</v>
      </c>
      <c r="U170" s="1560"/>
      <c r="V170" s="1560"/>
      <c r="W170" s="1560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6732194</v>
      </c>
      <c r="Q172" s="1565"/>
      <c r="R172" s="1565"/>
      <c r="S172" s="1566"/>
      <c r="T172" s="1567">
        <f>SUM(T4:T171)</f>
        <v>2381312.7054181849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134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7523.5320363636383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7523.53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7523.53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7523.53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7523.53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7523.53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7523.53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7523.53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7523.53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7523.53</v>
      </c>
      <c r="U13" s="1560"/>
      <c r="V13" s="1560"/>
      <c r="W13" s="1560"/>
    </row>
    <row r="14" spans="1:27" ht="14.1" customHeight="1">
      <c r="A14" s="1552">
        <v>11</v>
      </c>
      <c r="B14" s="1553"/>
      <c r="C14" s="1553"/>
      <c r="D14" s="1554">
        <f t="shared" si="0"/>
        <v>2014</v>
      </c>
      <c r="E14" s="1555"/>
      <c r="F14" s="1555"/>
      <c r="G14" s="1556"/>
      <c r="H14" s="1557" t="s">
        <v>347</v>
      </c>
      <c r="I14" s="1557"/>
      <c r="J14" s="1557"/>
      <c r="K14" s="1557"/>
      <c r="L14" s="1557"/>
      <c r="M14" s="1557"/>
      <c r="N14" s="1557"/>
      <c r="O14" s="1557"/>
      <c r="P14" s="1558">
        <f>'HSZ do groszy'!K46</f>
        <v>0</v>
      </c>
      <c r="Q14" s="1559"/>
      <c r="R14" s="1559"/>
      <c r="S14" s="1559"/>
      <c r="T14" s="1560">
        <f>ROUND(IPMT(($AA$3%+0.35%)/11,1,$D$171-$D$4+1,$P$172-(SUM($P$4:P13)))*-1,2)</f>
        <v>7523.53</v>
      </c>
      <c r="U14" s="1560"/>
      <c r="V14" s="1560"/>
      <c r="W14" s="1560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7523.53</v>
      </c>
      <c r="U15" s="1560"/>
      <c r="V15" s="1560"/>
      <c r="W15" s="1560"/>
      <c r="Y15" s="740">
        <f>SUM(T4:W15)</f>
        <v>90282.362036363629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7523.53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7523.53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7523.53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7523.53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7523.53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7523.53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7523.53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7523.53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7523.53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7523.53</v>
      </c>
      <c r="U25" s="1560"/>
      <c r="V25" s="1560"/>
      <c r="W25" s="1560"/>
      <c r="Y25" s="737"/>
      <c r="Z25" s="737"/>
    </row>
    <row r="26" spans="1:26" ht="14.1" customHeight="1">
      <c r="A26" s="1552">
        <v>23</v>
      </c>
      <c r="B26" s="1553"/>
      <c r="C26" s="1553"/>
      <c r="D26" s="1557">
        <f t="shared" si="1"/>
        <v>2015</v>
      </c>
      <c r="E26" s="1557"/>
      <c r="F26" s="1557"/>
      <c r="G26" s="1557"/>
      <c r="H26" s="1557" t="s">
        <v>347</v>
      </c>
      <c r="I26" s="1557"/>
      <c r="J26" s="1557"/>
      <c r="K26" s="1557"/>
      <c r="L26" s="1557"/>
      <c r="M26" s="1557"/>
      <c r="N26" s="1557"/>
      <c r="O26" s="1557"/>
      <c r="P26" s="1558">
        <f>'HSZ do groszy'!M46</f>
        <v>0</v>
      </c>
      <c r="Q26" s="1559"/>
      <c r="R26" s="1559"/>
      <c r="S26" s="1559"/>
      <c r="T26" s="1560">
        <f>ROUND(IPMT(($AA$3%+0.35%)/11,1,$D$171-$D$16+1,$P$172-(SUM($P$4:P25)))*-1,2)</f>
        <v>7523.53</v>
      </c>
      <c r="U26" s="1560"/>
      <c r="V26" s="1560"/>
      <c r="W26" s="1560"/>
      <c r="Y26" s="737"/>
      <c r="Z26" s="737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7523.53</v>
      </c>
      <c r="U27" s="1560"/>
      <c r="V27" s="1560"/>
      <c r="W27" s="1560"/>
      <c r="Y27" s="740">
        <f>SUM(T16:W27)</f>
        <v>90282.36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7523.53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7523.53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7523.53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7523.53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7523.53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7523.53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7523.53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7523.53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7523.53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7523.53</v>
      </c>
      <c r="U37" s="1560"/>
      <c r="V37" s="1560"/>
      <c r="W37" s="1560"/>
      <c r="Y37" s="737"/>
      <c r="Z37" s="737"/>
    </row>
    <row r="38" spans="1:26" ht="14.1" customHeight="1">
      <c r="A38" s="1552">
        <v>35</v>
      </c>
      <c r="B38" s="1553"/>
      <c r="C38" s="1553"/>
      <c r="D38" s="1557">
        <f t="shared" si="2"/>
        <v>2016</v>
      </c>
      <c r="E38" s="1557"/>
      <c r="F38" s="1557"/>
      <c r="G38" s="1557"/>
      <c r="H38" s="1557" t="s">
        <v>347</v>
      </c>
      <c r="I38" s="1557"/>
      <c r="J38" s="1557"/>
      <c r="K38" s="1557"/>
      <c r="L38" s="1557"/>
      <c r="M38" s="1557"/>
      <c r="N38" s="1557"/>
      <c r="O38" s="1557"/>
      <c r="P38" s="1558">
        <f>'HSZ do groszy'!O46</f>
        <v>0</v>
      </c>
      <c r="Q38" s="1559"/>
      <c r="R38" s="1559"/>
      <c r="S38" s="1559"/>
      <c r="T38" s="1560">
        <f>ROUND(IPMT(($AA$3%+0.35%)/11,1,$D$171-$D$28+1,$P$172-(SUM($P$4:P37)))*-1,2)</f>
        <v>7523.53</v>
      </c>
      <c r="U38" s="1560"/>
      <c r="V38" s="1560"/>
      <c r="W38" s="1560"/>
      <c r="Y38" s="737"/>
      <c r="Z38" s="737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7523.53</v>
      </c>
      <c r="U39" s="1560"/>
      <c r="V39" s="1560"/>
      <c r="W39" s="1560"/>
      <c r="Y39" s="740">
        <f>SUM(T28:W39)</f>
        <v>90282.36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7523.53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7523.53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7523.53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7523.53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7523.53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7523.53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7523.53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7523.53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7523.53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7523.53</v>
      </c>
      <c r="U49" s="1560"/>
      <c r="V49" s="1560"/>
      <c r="W49" s="1560"/>
      <c r="Y49" s="737"/>
      <c r="Z49" s="737"/>
    </row>
    <row r="50" spans="1:26" ht="14.1" customHeight="1">
      <c r="A50" s="1552">
        <v>47</v>
      </c>
      <c r="B50" s="1553"/>
      <c r="C50" s="1553"/>
      <c r="D50" s="1557">
        <f t="shared" si="3"/>
        <v>2017</v>
      </c>
      <c r="E50" s="1557"/>
      <c r="F50" s="1557"/>
      <c r="G50" s="1557"/>
      <c r="H50" s="1557" t="s">
        <v>347</v>
      </c>
      <c r="I50" s="1557"/>
      <c r="J50" s="1557"/>
      <c r="K50" s="1557"/>
      <c r="L50" s="1557"/>
      <c r="M50" s="1557"/>
      <c r="N50" s="1557"/>
      <c r="O50" s="1557"/>
      <c r="P50" s="1558">
        <f>'HSZ do groszy'!Q46</f>
        <v>0</v>
      </c>
      <c r="Q50" s="1559"/>
      <c r="R50" s="1559"/>
      <c r="S50" s="1559"/>
      <c r="T50" s="1560">
        <f>ROUND(IPMT(($AA$3%+0.35%)/11,1,$D$171-$D$40+1,$P$172-(SUM($P$4:P49)))*-1,2)</f>
        <v>7523.53</v>
      </c>
      <c r="U50" s="1560"/>
      <c r="V50" s="1560"/>
      <c r="W50" s="1560"/>
      <c r="Y50" s="737"/>
      <c r="Z50" s="737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7523.53</v>
      </c>
      <c r="U51" s="1560"/>
      <c r="V51" s="1560"/>
      <c r="W51" s="1560"/>
      <c r="Y51" s="740">
        <f>SUM(T40:W51)</f>
        <v>90282.36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7523.53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7523.53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7523.53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7523.53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7523.53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7523.53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7523.53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7523.53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7523.53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7523.53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groszy'!S46</f>
        <v>0</v>
      </c>
      <c r="Q62" s="1580"/>
      <c r="R62" s="1580"/>
      <c r="S62" s="1580"/>
      <c r="T62" s="1581">
        <f>ROUND(IPMT(($AA$3%+0.35%)/11,1,$D$171-$D$52+1,$P$172-(SUM($P$4:P61)))*-1,2)</f>
        <v>7523.53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7523.53</v>
      </c>
      <c r="U63" s="1560"/>
      <c r="V63" s="1560"/>
      <c r="W63" s="1560"/>
      <c r="Y63" s="740">
        <f>SUM(T52:W63)</f>
        <v>90282.36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7523.53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7523.53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7523.53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7523.53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7523.53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7523.53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7523.53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7523.53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7523.53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7523.53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groszy'!U46</f>
        <v>0</v>
      </c>
      <c r="Q74" s="1580"/>
      <c r="R74" s="1580"/>
      <c r="S74" s="1580"/>
      <c r="T74" s="1581">
        <f>ROUND(IPMT(($AA$3%+0.35%)/11,1,$D$171-$D$64+1,$P$172-(SUM($P$4:P73)))*-1,2)</f>
        <v>7523.53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7523.53</v>
      </c>
      <c r="U75" s="1560"/>
      <c r="V75" s="1560"/>
      <c r="W75" s="1560"/>
      <c r="Y75" s="740">
        <f>SUM(T64:W75)</f>
        <v>90282.36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7523.53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7523.53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7523.53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7523.53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7523.53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7523.53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7523.53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7523.53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7523.53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7523.53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groszy'!W46</f>
        <v>0</v>
      </c>
      <c r="Q86" s="1580"/>
      <c r="R86" s="1580"/>
      <c r="S86" s="1580"/>
      <c r="T86" s="1581">
        <f>ROUND(IPMT(($AA$3%+0.35%)/11,1,$D$171-$D$76+1,$P$172-(SUM($P$4:P85)))*-1,2)</f>
        <v>7523.53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7523.53</v>
      </c>
      <c r="U87" s="1560"/>
      <c r="V87" s="1560"/>
      <c r="W87" s="1560"/>
      <c r="Y87" s="740">
        <f>SUM(T76:W87)</f>
        <v>90282.36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7523.53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7523.53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7523.53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7523.53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7523.53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7523.53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7523.53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7523.53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7523.53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7523.53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groszy'!Y46</f>
        <v>1906886</v>
      </c>
      <c r="Q98" s="1580"/>
      <c r="R98" s="1580"/>
      <c r="S98" s="1580"/>
      <c r="T98" s="1581">
        <f>ROUND(IPMT(($AA$3%+0.35%)/11,1,$D$171-$D$88+1,$P$172-(SUM($P$4:P97)))*-1,2)</f>
        <v>7523.53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0</v>
      </c>
      <c r="U99" s="1560"/>
      <c r="V99" s="1560"/>
      <c r="W99" s="1560"/>
      <c r="Y99" s="740">
        <f>SUM(T88:W99)</f>
        <v>82758.83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0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0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0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0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0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0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0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0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0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0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groszy'!AA46</f>
        <v>0</v>
      </c>
      <c r="Q110" s="1580"/>
      <c r="R110" s="1580"/>
      <c r="S110" s="1580"/>
      <c r="T110" s="1581">
        <f>ROUND(IPMT(($AA$3%+0.35%)/11,1,$D$171-$D$160+1,$P$172-(SUM($P$4:P109)))*-1,2)</f>
        <v>0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0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groszy'!AC46</f>
        <v>0</v>
      </c>
      <c r="Q122" s="1580"/>
      <c r="R122" s="1580"/>
      <c r="S122" s="1580"/>
      <c r="T122" s="1581">
        <f>ROUND(IPMT(($AA$3%+0.35%)/11,1,$D$171-$D$160+1,$P$172-(SUM($P$4:P121)))*-1,2)</f>
        <v>0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groszy'!AE46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groszy'!AG46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1906886</v>
      </c>
      <c r="Q172" s="1565"/>
      <c r="R172" s="1565"/>
      <c r="S172" s="1566"/>
      <c r="T172" s="1567">
        <f>SUM(T4:T171)</f>
        <v>714735.35203636531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140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0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0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0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0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0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0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0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0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0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0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groszy'!K47</f>
        <v>0</v>
      </c>
      <c r="Q14" s="1580"/>
      <c r="R14" s="1580"/>
      <c r="S14" s="1580"/>
      <c r="T14" s="1581">
        <f>ROUND(IPMT(($AA$3%+0.35%)/11,1,$D$171-$D$4+1,$P$172-(SUM($P$4:P13)))*-1,2)</f>
        <v>0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0</v>
      </c>
      <c r="U15" s="1560"/>
      <c r="V15" s="1560"/>
      <c r="W15" s="1560"/>
      <c r="Y15" s="740">
        <f>SUM(T4:W15)</f>
        <v>0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0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0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0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0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0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0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0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0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0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0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groszy'!M47</f>
        <v>0</v>
      </c>
      <c r="Q26" s="1580"/>
      <c r="R26" s="1580"/>
      <c r="S26" s="1580"/>
      <c r="T26" s="1581">
        <f>ROUND(IPMT(($AA$3%+0.35%)/11,1,$D$171-$D$16+1,$P$172-(SUM($P$4:P25)))*-1,2)</f>
        <v>0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0</v>
      </c>
      <c r="U27" s="1560"/>
      <c r="V27" s="1560"/>
      <c r="W27" s="1560"/>
      <c r="Y27" s="740">
        <f>SUM(T16:W27)</f>
        <v>0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0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0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0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0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0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0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0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0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0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0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groszy'!O47</f>
        <v>0</v>
      </c>
      <c r="Q38" s="1580"/>
      <c r="R38" s="1580"/>
      <c r="S38" s="1580"/>
      <c r="T38" s="1581">
        <f>ROUND(IPMT(($AA$3%+0.35%)/11,1,$D$171-$D$28+1,$P$172-(SUM($P$4:P37)))*-1,2)</f>
        <v>0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0</v>
      </c>
      <c r="U39" s="1560"/>
      <c r="V39" s="1560"/>
      <c r="W39" s="1560"/>
      <c r="Y39" s="740">
        <f>SUM(T28:W39)</f>
        <v>0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0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0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0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0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0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0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0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0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0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0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groszy'!Q47</f>
        <v>0</v>
      </c>
      <c r="Q50" s="1580"/>
      <c r="R50" s="1580"/>
      <c r="S50" s="1580"/>
      <c r="T50" s="1581">
        <f>ROUND(IPMT(($AA$3%+0.35%)/11,1,$D$171-$D$40+1,$P$172-(SUM($P$4:P49)))*-1,2)</f>
        <v>0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0</v>
      </c>
      <c r="U51" s="1560"/>
      <c r="V51" s="1560"/>
      <c r="W51" s="1560"/>
      <c r="Y51" s="740">
        <f>SUM(T40:W51)</f>
        <v>0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0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0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0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0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0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0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0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0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0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0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groszy'!S47</f>
        <v>0</v>
      </c>
      <c r="Q62" s="1580"/>
      <c r="R62" s="1580"/>
      <c r="S62" s="1580"/>
      <c r="T62" s="1581">
        <f>ROUND(IPMT(($AA$3%+0.35%)/11,1,$D$171-$D$52+1,$P$172-(SUM($P$4:P61)))*-1,2)</f>
        <v>0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0</v>
      </c>
      <c r="U63" s="1560"/>
      <c r="V63" s="1560"/>
      <c r="W63" s="1560"/>
      <c r="Y63" s="740">
        <f>SUM(T52:W63)</f>
        <v>0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0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0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0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0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0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0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0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0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0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0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groszy'!U47</f>
        <v>0</v>
      </c>
      <c r="Q74" s="1580"/>
      <c r="R74" s="1580"/>
      <c r="S74" s="1580"/>
      <c r="T74" s="1581">
        <f>ROUND(IPMT(($AA$3%+0.35%)/11,1,$D$171-$D$64+1,$P$172-(SUM($P$4:P73)))*-1,2)</f>
        <v>0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0</v>
      </c>
      <c r="U75" s="1560"/>
      <c r="V75" s="1560"/>
      <c r="W75" s="1560"/>
      <c r="Y75" s="740">
        <f>SUM(T64:W75)</f>
        <v>0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0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0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0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0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0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0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0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0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0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0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groszy'!W47</f>
        <v>0</v>
      </c>
      <c r="Q86" s="1580"/>
      <c r="R86" s="1580"/>
      <c r="S86" s="1580"/>
      <c r="T86" s="1581">
        <f>ROUND(IPMT(($AA$3%+0.35%)/11,1,$D$171-$D$76+1,$P$172-(SUM($P$4:P85)))*-1,2)</f>
        <v>0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0</v>
      </c>
      <c r="U87" s="1560"/>
      <c r="V87" s="1560"/>
      <c r="W87" s="1560"/>
      <c r="Y87" s="740">
        <f>SUM(T76:W87)</f>
        <v>0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0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0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0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0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0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0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0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0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0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0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groszy'!Y47</f>
        <v>0</v>
      </c>
      <c r="Q98" s="1580"/>
      <c r="R98" s="1580"/>
      <c r="S98" s="1580"/>
      <c r="T98" s="1581">
        <f>ROUND(IPMT(($AA$3%+0.35%)/11,1,$D$171-$D$88+1,$P$172-(SUM($P$4:P97)))*-1,2)</f>
        <v>0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0</v>
      </c>
      <c r="U99" s="1560"/>
      <c r="V99" s="1560"/>
      <c r="W99" s="1560"/>
      <c r="Y99" s="740">
        <f>SUM(T88:W99)</f>
        <v>0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0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0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0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0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0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0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0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0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0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0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groszy'!AA47</f>
        <v>0</v>
      </c>
      <c r="Q110" s="1580"/>
      <c r="R110" s="1580"/>
      <c r="S110" s="1580"/>
      <c r="T110" s="1581">
        <f>ROUND(IPMT(($AA$3%+0.35%)/11,1,$D$171-$D$160+1,$P$172-(SUM($P$4:P109)))*-1,2)</f>
        <v>0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0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groszy'!AC47</f>
        <v>0</v>
      </c>
      <c r="Q122" s="1580"/>
      <c r="R122" s="1580"/>
      <c r="S122" s="1580"/>
      <c r="T122" s="1581">
        <f>ROUND(IPMT(($AA$3%+0.35%)/11,1,$D$171-$D$160+1,$P$172-(SUM($P$4:P121)))*-1,2)</f>
        <v>0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groszy'!AE47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groszy'!AG47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0</v>
      </c>
      <c r="Q172" s="1565"/>
      <c r="R172" s="1565"/>
      <c r="S172" s="1566"/>
      <c r="T172" s="1567">
        <f>SUM(T4:T171)</f>
        <v>0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139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6386.8426363636381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6386.84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6386.84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6386.84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6386.84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6386.84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6386.84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6386.84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6386.84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6386.84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groszy'!K48</f>
        <v>0</v>
      </c>
      <c r="Q14" s="1580"/>
      <c r="R14" s="1580"/>
      <c r="S14" s="1580"/>
      <c r="T14" s="1581">
        <f>ROUND(IPMT(($AA$3%+0.35%)/11,1,$D$171-$D$4+1,$P$172-(SUM($P$4:P13)))*-1,2)</f>
        <v>6386.84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6386.84</v>
      </c>
      <c r="U15" s="1560"/>
      <c r="V15" s="1560"/>
      <c r="W15" s="1560"/>
      <c r="Y15" s="740">
        <f>SUM(T4:W15)</f>
        <v>76642.082636363615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6386.84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6386.84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6386.84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6386.84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6386.84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6386.84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6386.84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6386.84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6386.84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6386.84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groszy'!M48</f>
        <v>0</v>
      </c>
      <c r="Q26" s="1580"/>
      <c r="R26" s="1580"/>
      <c r="S26" s="1580"/>
      <c r="T26" s="1581">
        <f>ROUND(IPMT(($AA$3%+0.35%)/11,1,$D$171-$D$16+1,$P$172-(SUM($P$4:P25)))*-1,2)</f>
        <v>6386.84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6386.84</v>
      </c>
      <c r="U27" s="1560"/>
      <c r="V27" s="1560"/>
      <c r="W27" s="1560"/>
      <c r="Y27" s="740">
        <f>SUM(T16:W27)</f>
        <v>76642.079999999987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6386.84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6386.84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6386.84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6386.84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6386.84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6386.84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6386.84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6386.84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6386.84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6386.84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groszy'!O48</f>
        <v>0</v>
      </c>
      <c r="Q38" s="1580"/>
      <c r="R38" s="1580"/>
      <c r="S38" s="1580"/>
      <c r="T38" s="1581">
        <f>ROUND(IPMT(($AA$3%+0.35%)/11,1,$D$171-$D$28+1,$P$172-(SUM($P$4:P37)))*-1,2)</f>
        <v>6386.84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6386.84</v>
      </c>
      <c r="U39" s="1560"/>
      <c r="V39" s="1560"/>
      <c r="W39" s="1560"/>
      <c r="Y39" s="740">
        <f>SUM(T28:W39)</f>
        <v>76642.079999999987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6386.84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6386.84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6386.84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6386.84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6386.84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6386.84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6386.84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6386.84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6386.84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6386.84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groszy'!Q48</f>
        <v>0</v>
      </c>
      <c r="Q50" s="1580"/>
      <c r="R50" s="1580"/>
      <c r="S50" s="1580"/>
      <c r="T50" s="1581">
        <f>ROUND(IPMT(($AA$3%+0.35%)/11,1,$D$171-$D$40+1,$P$172-(SUM($P$4:P49)))*-1,2)</f>
        <v>6386.84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6386.84</v>
      </c>
      <c r="U51" s="1560"/>
      <c r="V51" s="1560"/>
      <c r="W51" s="1560"/>
      <c r="Y51" s="740">
        <f>SUM(T40:W51)</f>
        <v>76642.079999999987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6386.84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6386.84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6386.84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6386.84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6386.84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6386.84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6386.84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6386.84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6386.84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6386.84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groszy'!S48</f>
        <v>0</v>
      </c>
      <c r="Q62" s="1580"/>
      <c r="R62" s="1580"/>
      <c r="S62" s="1580"/>
      <c r="T62" s="1581">
        <f>ROUND(IPMT(($AA$3%+0.35%)/11,1,$D$171-$D$52+1,$P$172-(SUM($P$4:P61)))*-1,2)</f>
        <v>6386.84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6386.84</v>
      </c>
      <c r="U63" s="1560"/>
      <c r="V63" s="1560"/>
      <c r="W63" s="1560"/>
      <c r="Y63" s="740">
        <f>SUM(T52:W63)</f>
        <v>76642.079999999987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6386.84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6386.84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6386.84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6386.84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6386.84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6386.84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6386.84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6386.84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6386.84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6386.84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groszy'!U48</f>
        <v>0</v>
      </c>
      <c r="Q74" s="1580"/>
      <c r="R74" s="1580"/>
      <c r="S74" s="1580"/>
      <c r="T74" s="1581">
        <f>ROUND(IPMT(($AA$3%+0.35%)/11,1,$D$171-$D$64+1,$P$172-(SUM($P$4:P73)))*-1,2)</f>
        <v>6386.84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6386.84</v>
      </c>
      <c r="U75" s="1560"/>
      <c r="V75" s="1560"/>
      <c r="W75" s="1560"/>
      <c r="Y75" s="740">
        <f>SUM(T64:W75)</f>
        <v>76642.079999999987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6386.84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6386.84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6386.84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6386.84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6386.84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6386.84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6386.84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6386.84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6386.84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6386.84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groszy'!W48</f>
        <v>0</v>
      </c>
      <c r="Q86" s="1580"/>
      <c r="R86" s="1580"/>
      <c r="S86" s="1580"/>
      <c r="T86" s="1581">
        <f>ROUND(IPMT(($AA$3%+0.35%)/11,1,$D$171-$D$76+1,$P$172-(SUM($P$4:P85)))*-1,2)</f>
        <v>6386.84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6386.84</v>
      </c>
      <c r="U87" s="1560"/>
      <c r="V87" s="1560"/>
      <c r="W87" s="1560"/>
      <c r="Y87" s="740">
        <f>SUM(T76:W87)</f>
        <v>76642.079999999987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6386.84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6386.84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6386.84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6386.84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6386.84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6386.84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6386.84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6386.84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6386.84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6386.84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groszy'!Y48</f>
        <v>360920</v>
      </c>
      <c r="Q98" s="1580"/>
      <c r="R98" s="1580"/>
      <c r="S98" s="1580"/>
      <c r="T98" s="1581">
        <f>ROUND(IPMT(($AA$3%+0.35%)/11,1,$D$171-$D$88+1,$P$172-(SUM($P$4:P97)))*-1,2)</f>
        <v>6386.84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4962.8500000000004</v>
      </c>
      <c r="U99" s="1560"/>
      <c r="V99" s="1560"/>
      <c r="W99" s="1560"/>
      <c r="Y99" s="740">
        <f>SUM(T88:W99)</f>
        <v>75218.09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4962.8500000000004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4962.8500000000004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4962.8500000000004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4962.8500000000004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4962.8500000000004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4962.8500000000004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4962.8500000000004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4962.8500000000004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4962.8500000000004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4962.8500000000004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groszy'!AA48</f>
        <v>1257865</v>
      </c>
      <c r="Q110" s="1580"/>
      <c r="R110" s="1580"/>
      <c r="S110" s="1580"/>
      <c r="T110" s="1581">
        <f>ROUND(IPMT(($AA$3%+0.35%)/11,1,$D$171-$D$160+1,$P$172-(SUM($P$4:P109)))*-1,2)</f>
        <v>4962.8500000000004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54591.349999999991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groszy'!AC48</f>
        <v>0</v>
      </c>
      <c r="Q122" s="1580"/>
      <c r="R122" s="1580"/>
      <c r="S122" s="1580"/>
      <c r="T122" s="1581">
        <f>ROUND(IPMT(($AA$3%+0.35%)/11,1,$D$171-$D$160+1,$P$172-(SUM($P$4:P121)))*-1,2)</f>
        <v>0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groszy'!AE48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groszy'!AG48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1618785</v>
      </c>
      <c r="Q172" s="1565"/>
      <c r="R172" s="1565"/>
      <c r="S172" s="1566"/>
      <c r="T172" s="1567">
        <f>SUM(T4:T171)</f>
        <v>666304.00263636385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145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6271.1934727272737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6271.19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6271.19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6271.19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6271.19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6271.19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6271.19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6271.19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6271.19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6271.19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groszy'!K49</f>
        <v>0</v>
      </c>
      <c r="Q14" s="1580"/>
      <c r="R14" s="1580"/>
      <c r="S14" s="1580"/>
      <c r="T14" s="1581">
        <f>ROUND(IPMT(($AA$3%+0.35%)/11,1,$D$171-$D$4+1,$P$172-(SUM($P$4:P13)))*-1,2)</f>
        <v>6271.19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6271.19</v>
      </c>
      <c r="U15" s="1560"/>
      <c r="V15" s="1560"/>
      <c r="W15" s="1560"/>
      <c r="Y15" s="740">
        <f>SUM(T4:W15)</f>
        <v>75254.283472727286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6271.19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6271.19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6271.19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6271.19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6271.19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6271.19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6271.19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6271.19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6271.19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6271.19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groszy'!M49</f>
        <v>0</v>
      </c>
      <c r="Q26" s="1580"/>
      <c r="R26" s="1580"/>
      <c r="S26" s="1580"/>
      <c r="T26" s="1581">
        <f>ROUND(IPMT(($AA$3%+0.35%)/11,1,$D$171-$D$16+1,$P$172-(SUM($P$4:P25)))*-1,2)</f>
        <v>6271.19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6271.19</v>
      </c>
      <c r="U27" s="1560"/>
      <c r="V27" s="1560"/>
      <c r="W27" s="1560"/>
      <c r="Y27" s="740">
        <f>SUM(T16:W27)</f>
        <v>75254.280000000013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6271.19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6271.19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6271.19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6271.19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6271.19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6271.19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6271.19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6271.19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6271.19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6271.19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groszy'!O49</f>
        <v>0</v>
      </c>
      <c r="Q38" s="1580"/>
      <c r="R38" s="1580"/>
      <c r="S38" s="1580"/>
      <c r="T38" s="1581">
        <f>ROUND(IPMT(($AA$3%+0.35%)/11,1,$D$171-$D$28+1,$P$172-(SUM($P$4:P37)))*-1,2)</f>
        <v>6271.19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6271.19</v>
      </c>
      <c r="U39" s="1560"/>
      <c r="V39" s="1560"/>
      <c r="W39" s="1560"/>
      <c r="Y39" s="740">
        <f>SUM(T28:W39)</f>
        <v>75254.280000000013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6271.19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6271.19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6271.19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6271.19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6271.19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6271.19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6271.19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6271.19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6271.19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6271.19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groszy'!Q49</f>
        <v>0</v>
      </c>
      <c r="Q50" s="1580"/>
      <c r="R50" s="1580"/>
      <c r="S50" s="1580"/>
      <c r="T50" s="1581">
        <f>ROUND(IPMT(($AA$3%+0.35%)/11,1,$D$171-$D$40+1,$P$172-(SUM($P$4:P49)))*-1,2)</f>
        <v>6271.19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6271.19</v>
      </c>
      <c r="U51" s="1560"/>
      <c r="V51" s="1560"/>
      <c r="W51" s="1560"/>
      <c r="Y51" s="740">
        <f>SUM(T40:W51)</f>
        <v>75254.280000000013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6271.19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6271.19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6271.19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6271.19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6271.19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6271.19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6271.19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6271.19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6271.19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6271.19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groszy'!S49</f>
        <v>0</v>
      </c>
      <c r="Q62" s="1580"/>
      <c r="R62" s="1580"/>
      <c r="S62" s="1580"/>
      <c r="T62" s="1581">
        <f>ROUND(IPMT(($AA$3%+0.35%)/11,1,$D$171-$D$52+1,$P$172-(SUM($P$4:P61)))*-1,2)</f>
        <v>6271.19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6271.19</v>
      </c>
      <c r="U63" s="1560"/>
      <c r="V63" s="1560"/>
      <c r="W63" s="1560"/>
      <c r="Y63" s="740">
        <f>SUM(T52:W63)</f>
        <v>75254.280000000013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6271.19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6271.19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6271.19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6271.19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6271.19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6271.19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6271.19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6271.19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6271.19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6271.19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groszy'!U49</f>
        <v>0</v>
      </c>
      <c r="Q74" s="1580"/>
      <c r="R74" s="1580"/>
      <c r="S74" s="1580"/>
      <c r="T74" s="1581">
        <f>ROUND(IPMT(($AA$3%+0.35%)/11,1,$D$171-$D$64+1,$P$172-(SUM($P$4:P73)))*-1,2)</f>
        <v>6271.19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6271.19</v>
      </c>
      <c r="U75" s="1560"/>
      <c r="V75" s="1560"/>
      <c r="W75" s="1560"/>
      <c r="Y75" s="740">
        <f>SUM(T64:W75)</f>
        <v>75254.280000000013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6271.19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6271.19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6271.19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6271.19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6271.19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6271.19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6271.19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6271.19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6271.19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6271.19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groszy'!W49</f>
        <v>0</v>
      </c>
      <c r="Q86" s="1580"/>
      <c r="R86" s="1580"/>
      <c r="S86" s="1580"/>
      <c r="T86" s="1581">
        <f>ROUND(IPMT(($AA$3%+0.35%)/11,1,$D$171-$D$76+1,$P$172-(SUM($P$4:P85)))*-1,2)</f>
        <v>6271.19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6271.19</v>
      </c>
      <c r="U87" s="1560"/>
      <c r="V87" s="1560"/>
      <c r="W87" s="1560"/>
      <c r="Y87" s="740">
        <f>SUM(T76:W87)</f>
        <v>75254.280000000013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6271.19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6271.19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6271.19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6271.19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6271.19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6271.19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6271.19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6271.19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6271.19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6271.19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groszy'!Y49</f>
        <v>0</v>
      </c>
      <c r="Q98" s="1580"/>
      <c r="R98" s="1580"/>
      <c r="S98" s="1580"/>
      <c r="T98" s="1581">
        <f>ROUND(IPMT(($AA$3%+0.35%)/11,1,$D$171-$D$88+1,$P$172-(SUM($P$4:P97)))*-1,2)</f>
        <v>6271.19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6271.19</v>
      </c>
      <c r="U99" s="1560"/>
      <c r="V99" s="1560"/>
      <c r="W99" s="1560"/>
      <c r="Y99" s="740">
        <f>SUM(T88:W99)</f>
        <v>75254.280000000013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6271.19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6271.19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6271.19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6271.19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6271.19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6271.19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6271.19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6271.19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6271.19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6271.19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groszy'!AA49</f>
        <v>1589473</v>
      </c>
      <c r="Q110" s="1580"/>
      <c r="R110" s="1580"/>
      <c r="S110" s="1580"/>
      <c r="T110" s="1581">
        <f>ROUND(IPMT(($AA$3%+0.35%)/11,1,$D$171-$D$160+1,$P$172-(SUM($P$4:P109)))*-1,2)</f>
        <v>6271.19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68983.090000000011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groszy'!AC49</f>
        <v>0</v>
      </c>
      <c r="Q122" s="1580"/>
      <c r="R122" s="1580"/>
      <c r="S122" s="1580"/>
      <c r="T122" s="1581">
        <f>ROUND(IPMT(($AA$3%+0.35%)/11,1,$D$171-$D$160+1,$P$172-(SUM($P$4:P121)))*-1,2)</f>
        <v>0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groszy'!AE49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groszy'!AG49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1589473</v>
      </c>
      <c r="Q172" s="1565"/>
      <c r="R172" s="1565"/>
      <c r="S172" s="1566"/>
      <c r="T172" s="1567">
        <f>SUM(T4:T171)</f>
        <v>671017.33347272617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142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6069.9950181818194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6070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6070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6070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6070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6070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6070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6070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6070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6070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groszy'!K50</f>
        <v>0</v>
      </c>
      <c r="Q14" s="1580"/>
      <c r="R14" s="1580"/>
      <c r="S14" s="1580"/>
      <c r="T14" s="1581">
        <f>ROUND(IPMT(($AA$3%+0.35%)/11,1,$D$171-$D$4+1,$P$172-(SUM($P$4:P13)))*-1,2)</f>
        <v>6070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6070</v>
      </c>
      <c r="U15" s="1560"/>
      <c r="V15" s="1560"/>
      <c r="W15" s="1560"/>
      <c r="Y15" s="740">
        <f>SUM(T4:W15)</f>
        <v>72839.995018181828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6070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6070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6070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6070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6070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6070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6070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6070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6070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6070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groszy'!M50</f>
        <v>0</v>
      </c>
      <c r="Q26" s="1580"/>
      <c r="R26" s="1580"/>
      <c r="S26" s="1580"/>
      <c r="T26" s="1581">
        <f>ROUND(IPMT(($AA$3%+0.35%)/11,1,$D$171-$D$16+1,$P$172-(SUM($P$4:P25)))*-1,2)</f>
        <v>6070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6070</v>
      </c>
      <c r="U27" s="1560"/>
      <c r="V27" s="1560"/>
      <c r="W27" s="1560"/>
      <c r="Y27" s="740">
        <f>SUM(T16:W27)</f>
        <v>72840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6070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6070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6070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6070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6070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6070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6070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6070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6070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6070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groszy'!O50</f>
        <v>0</v>
      </c>
      <c r="Q38" s="1580"/>
      <c r="R38" s="1580"/>
      <c r="S38" s="1580"/>
      <c r="T38" s="1581">
        <f>ROUND(IPMT(($AA$3%+0.35%)/11,1,$D$171-$D$28+1,$P$172-(SUM($P$4:P37)))*-1,2)</f>
        <v>6070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6070</v>
      </c>
      <c r="U39" s="1560"/>
      <c r="V39" s="1560"/>
      <c r="W39" s="1560"/>
      <c r="Y39" s="740">
        <f>SUM(T28:W39)</f>
        <v>72840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6070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6070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6070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6070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6070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6070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6070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6070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6070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6070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groszy'!Q50</f>
        <v>0</v>
      </c>
      <c r="Q50" s="1580"/>
      <c r="R50" s="1580"/>
      <c r="S50" s="1580"/>
      <c r="T50" s="1581">
        <f>ROUND(IPMT(($AA$3%+0.35%)/11,1,$D$171-$D$40+1,$P$172-(SUM($P$4:P49)))*-1,2)</f>
        <v>6070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6070</v>
      </c>
      <c r="U51" s="1560"/>
      <c r="V51" s="1560"/>
      <c r="W51" s="1560"/>
      <c r="Y51" s="740">
        <f>SUM(T40:W51)</f>
        <v>72840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6070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6070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6070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6070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6070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6070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6070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6070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6070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6070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groszy'!S50</f>
        <v>0</v>
      </c>
      <c r="Q62" s="1580"/>
      <c r="R62" s="1580"/>
      <c r="S62" s="1580"/>
      <c r="T62" s="1581">
        <f>ROUND(IPMT(($AA$3%+0.35%)/11,1,$D$171-$D$52+1,$P$172-(SUM($P$4:P61)))*-1,2)</f>
        <v>6070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6070</v>
      </c>
      <c r="U63" s="1560"/>
      <c r="V63" s="1560"/>
      <c r="W63" s="1560"/>
      <c r="Y63" s="740">
        <f>SUM(T52:W63)</f>
        <v>72840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6070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6070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6070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6070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6070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6070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6070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6070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6070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6070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groszy'!U50</f>
        <v>0</v>
      </c>
      <c r="Q74" s="1580"/>
      <c r="R74" s="1580"/>
      <c r="S74" s="1580"/>
      <c r="T74" s="1581">
        <f>ROUND(IPMT(($AA$3%+0.35%)/11,1,$D$171-$D$64+1,$P$172-(SUM($P$4:P73)))*-1,2)</f>
        <v>6070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6070</v>
      </c>
      <c r="U75" s="1560"/>
      <c r="V75" s="1560"/>
      <c r="W75" s="1560"/>
      <c r="Y75" s="740">
        <f>SUM(T64:W75)</f>
        <v>72840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6070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6070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6070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6070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6070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6070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6070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6070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6070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6070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groszy'!W50</f>
        <v>0</v>
      </c>
      <c r="Q86" s="1580"/>
      <c r="R86" s="1580"/>
      <c r="S86" s="1580"/>
      <c r="T86" s="1581">
        <f>ROUND(IPMT(($AA$3%+0.35%)/11,1,$D$171-$D$76+1,$P$172-(SUM($P$4:P85)))*-1,2)</f>
        <v>6070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6070</v>
      </c>
      <c r="U87" s="1560"/>
      <c r="V87" s="1560"/>
      <c r="W87" s="1560"/>
      <c r="Y87" s="740">
        <f>SUM(T76:W87)</f>
        <v>72840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6070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6070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6070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6070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6070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6070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6070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6070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6070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6070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groszy'!Y50</f>
        <v>0</v>
      </c>
      <c r="Q98" s="1580"/>
      <c r="R98" s="1580"/>
      <c r="S98" s="1580"/>
      <c r="T98" s="1581">
        <f>ROUND(IPMT(($AA$3%+0.35%)/11,1,$D$171-$D$88+1,$P$172-(SUM($P$4:P97)))*-1,2)</f>
        <v>6070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6070</v>
      </c>
      <c r="U99" s="1560"/>
      <c r="V99" s="1560"/>
      <c r="W99" s="1560"/>
      <c r="Y99" s="740">
        <f>SUM(T88:W99)</f>
        <v>72840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6070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6070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6070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6070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6070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6070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6070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6070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6070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6070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groszy'!AA50</f>
        <v>1538478</v>
      </c>
      <c r="Q110" s="1580"/>
      <c r="R110" s="1580"/>
      <c r="S110" s="1580"/>
      <c r="T110" s="1581">
        <f>ROUND(IPMT(($AA$3%+0.35%)/11,1,$D$171-$D$160+1,$P$172-(SUM($P$4:P109)))*-1,2)</f>
        <v>6070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0</v>
      </c>
      <c r="U111" s="1575"/>
      <c r="V111" s="1575"/>
      <c r="W111" s="1575"/>
      <c r="Y111" s="740">
        <f>SUM(T100:W111)</f>
        <v>66770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0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0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0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0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0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0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0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0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0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0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groszy'!AC50</f>
        <v>0</v>
      </c>
      <c r="Q122" s="1580"/>
      <c r="R122" s="1580"/>
      <c r="S122" s="1580"/>
      <c r="T122" s="1581">
        <f>ROUND(IPMT(($AA$3%+0.35%)/11,1,$D$171-$D$160+1,$P$172-(SUM($P$4:P121)))*-1,2)</f>
        <v>0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0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groszy'!AE50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groszy'!AG50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1538478</v>
      </c>
      <c r="Q172" s="1565"/>
      <c r="R172" s="1565"/>
      <c r="S172" s="1566"/>
      <c r="T172" s="1567">
        <f>SUM(T4:T171)</f>
        <v>649489.99501818186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139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7660.7312727272747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7660.73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7660.73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7660.73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7660.73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7660.73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7660.73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7660.73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7660.73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7660.73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groszy'!K51</f>
        <v>0</v>
      </c>
      <c r="Q14" s="1580"/>
      <c r="R14" s="1580"/>
      <c r="S14" s="1580"/>
      <c r="T14" s="1581">
        <f>ROUND(IPMT(($AA$3%+0.35%)/11,1,$D$171-$D$4+1,$P$172-(SUM($P$4:P13)))*-1,2)</f>
        <v>7660.73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7660.73</v>
      </c>
      <c r="U15" s="1560"/>
      <c r="V15" s="1560"/>
      <c r="W15" s="1560"/>
      <c r="Y15" s="740">
        <f>SUM(T4:W15)</f>
        <v>91928.76127272725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7660.73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7660.73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7660.73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7660.73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7660.73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7660.73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7660.73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7660.73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7660.73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7660.73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groszy'!M51</f>
        <v>0</v>
      </c>
      <c r="Q26" s="1580"/>
      <c r="R26" s="1580"/>
      <c r="S26" s="1580"/>
      <c r="T26" s="1581">
        <f>ROUND(IPMT(($AA$3%+0.35%)/11,1,$D$171-$D$16+1,$P$172-(SUM($P$4:P25)))*-1,2)</f>
        <v>7660.73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7660.73</v>
      </c>
      <c r="U27" s="1560"/>
      <c r="V27" s="1560"/>
      <c r="W27" s="1560"/>
      <c r="Y27" s="740">
        <f>SUM(T16:W27)</f>
        <v>91928.759999999966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7660.73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7660.73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7660.73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7660.73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7660.73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7660.73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7660.73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7660.73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7660.73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7660.73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groszy'!O51</f>
        <v>0</v>
      </c>
      <c r="Q38" s="1580"/>
      <c r="R38" s="1580"/>
      <c r="S38" s="1580"/>
      <c r="T38" s="1581">
        <f>ROUND(IPMT(($AA$3%+0.35%)/11,1,$D$171-$D$28+1,$P$172-(SUM($P$4:P37)))*-1,2)</f>
        <v>7660.73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7660.73</v>
      </c>
      <c r="U39" s="1560"/>
      <c r="V39" s="1560"/>
      <c r="W39" s="1560"/>
      <c r="Y39" s="740">
        <f>SUM(T28:W39)</f>
        <v>91928.759999999966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7660.73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7660.73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7660.73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7660.73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7660.73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7660.73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7660.73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7660.73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7660.73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7660.73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groszy'!Q51</f>
        <v>0</v>
      </c>
      <c r="Q50" s="1580"/>
      <c r="R50" s="1580"/>
      <c r="S50" s="1580"/>
      <c r="T50" s="1581">
        <f>ROUND(IPMT(($AA$3%+0.35%)/11,1,$D$171-$D$40+1,$P$172-(SUM($P$4:P49)))*-1,2)</f>
        <v>7660.73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7660.73</v>
      </c>
      <c r="U51" s="1560"/>
      <c r="V51" s="1560"/>
      <c r="W51" s="1560"/>
      <c r="Y51" s="740">
        <f>SUM(T40:W51)</f>
        <v>91928.759999999966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7660.73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7660.73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7660.73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7660.73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7660.73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7660.73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7660.73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7660.73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7660.73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7660.73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groszy'!S51</f>
        <v>0</v>
      </c>
      <c r="Q62" s="1580"/>
      <c r="R62" s="1580"/>
      <c r="S62" s="1580"/>
      <c r="T62" s="1581">
        <f>ROUND(IPMT(($AA$3%+0.35%)/11,1,$D$171-$D$52+1,$P$172-(SUM($P$4:P61)))*-1,2)</f>
        <v>7660.73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7660.73</v>
      </c>
      <c r="U63" s="1560"/>
      <c r="V63" s="1560"/>
      <c r="W63" s="1560"/>
      <c r="Y63" s="740">
        <f>SUM(T52:W63)</f>
        <v>91928.759999999966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7660.73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7660.73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7660.73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7660.73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7660.73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7660.73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7660.73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7660.73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7660.73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7660.73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groszy'!U51</f>
        <v>0</v>
      </c>
      <c r="Q74" s="1580"/>
      <c r="R74" s="1580"/>
      <c r="S74" s="1580"/>
      <c r="T74" s="1581">
        <f>ROUND(IPMT(($AA$3%+0.35%)/11,1,$D$171-$D$64+1,$P$172-(SUM($P$4:P73)))*-1,2)</f>
        <v>7660.73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7660.73</v>
      </c>
      <c r="U75" s="1560"/>
      <c r="V75" s="1560"/>
      <c r="W75" s="1560"/>
      <c r="Y75" s="740">
        <f>SUM(T64:W75)</f>
        <v>91928.759999999966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7660.73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7660.73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7660.73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7660.73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7660.73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7660.73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7660.73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7660.73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7660.73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7660.73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groszy'!W51</f>
        <v>0</v>
      </c>
      <c r="Q86" s="1580"/>
      <c r="R86" s="1580"/>
      <c r="S86" s="1580"/>
      <c r="T86" s="1581">
        <f>ROUND(IPMT(($AA$3%+0.35%)/11,1,$D$171-$D$76+1,$P$172-(SUM($P$4:P85)))*-1,2)</f>
        <v>7660.73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7660.73</v>
      </c>
      <c r="U87" s="1560"/>
      <c r="V87" s="1560"/>
      <c r="W87" s="1560"/>
      <c r="Y87" s="740">
        <f>SUM(T76:W87)</f>
        <v>91928.759999999966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7660.73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7660.73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7660.73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7660.73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7660.73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7660.73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7660.73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7660.73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7660.73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7660.73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groszy'!Y51</f>
        <v>0</v>
      </c>
      <c r="Q98" s="1580"/>
      <c r="R98" s="1580"/>
      <c r="S98" s="1580"/>
      <c r="T98" s="1581">
        <f>ROUND(IPMT(($AA$3%+0.35%)/11,1,$D$171-$D$88+1,$P$172-(SUM($P$4:P97)))*-1,2)</f>
        <v>7660.73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7660.73</v>
      </c>
      <c r="U99" s="1560"/>
      <c r="V99" s="1560"/>
      <c r="W99" s="1560"/>
      <c r="Y99" s="740">
        <f>SUM(T88:W99)</f>
        <v>91928.759999999966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7660.73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7660.73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7660.73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7660.73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7660.73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7660.73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7660.73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7660.73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7660.73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7660.73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groszy'!AA51</f>
        <v>1614184</v>
      </c>
      <c r="Q110" s="1580"/>
      <c r="R110" s="1580"/>
      <c r="S110" s="1580"/>
      <c r="T110" s="1581">
        <f>ROUND(IPMT(($AA$3%+0.35%)/11,1,$D$171-$D$160+1,$P$172-(SUM($P$4:P109)))*-1,2)</f>
        <v>7660.73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1292.04</v>
      </c>
      <c r="U111" s="1575"/>
      <c r="V111" s="1575"/>
      <c r="W111" s="1575"/>
      <c r="Y111" s="740">
        <f>SUM(T100:W111)</f>
        <v>85560.069999999963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1292.04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1292.04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1292.04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1292.04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1292.04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1292.04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1292.04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1292.04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1292.04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1292.04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groszy'!AC51</f>
        <v>327476</v>
      </c>
      <c r="Q122" s="1580"/>
      <c r="R122" s="1580"/>
      <c r="S122" s="1580"/>
      <c r="T122" s="1581">
        <f>ROUND(IPMT(($AA$3%+0.35%)/11,1,$D$171-$D$160+1,$P$172-(SUM($P$4:P121)))*-1,2)</f>
        <v>1292.04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14212.440000000002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groszy'!AE51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groszy'!AG51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1941660</v>
      </c>
      <c r="Q172" s="1565"/>
      <c r="R172" s="1565"/>
      <c r="S172" s="1566"/>
      <c r="T172" s="1567">
        <f>SUM(T4:T171)</f>
        <v>835202.59127272654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142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7580.4688909090928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7580.47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7580.47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7580.47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7580.47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7580.47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7580.47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7580.47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7580.47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7580.47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groszy'!K52</f>
        <v>0</v>
      </c>
      <c r="Q14" s="1580"/>
      <c r="R14" s="1580"/>
      <c r="S14" s="1580"/>
      <c r="T14" s="1581">
        <f>ROUND(IPMT(($AA$3%+0.35%)/11,1,$D$171-$D$4+1,$P$172-(SUM($P$4:P13)))*-1,2)</f>
        <v>7580.47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7580.47</v>
      </c>
      <c r="U15" s="1560"/>
      <c r="V15" s="1560"/>
      <c r="W15" s="1560"/>
      <c r="Y15" s="740">
        <f>SUM(T4:W15)</f>
        <v>90965.638890909104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7580.47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7580.47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7580.47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7580.47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7580.47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7580.47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7580.47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7580.47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7580.47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7580.47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groszy'!M52</f>
        <v>0</v>
      </c>
      <c r="Q26" s="1580"/>
      <c r="R26" s="1580"/>
      <c r="S26" s="1580"/>
      <c r="T26" s="1581">
        <f>ROUND(IPMT(($AA$3%+0.35%)/11,1,$D$171-$D$16+1,$P$172-(SUM($P$4:P25)))*-1,2)</f>
        <v>7580.47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7580.47</v>
      </c>
      <c r="U27" s="1560"/>
      <c r="V27" s="1560"/>
      <c r="W27" s="1560"/>
      <c r="Y27" s="740">
        <f>SUM(T16:W27)</f>
        <v>90965.64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7580.47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7580.47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7580.47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7580.47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7580.47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7580.47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7580.47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7580.47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7580.47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7580.47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groszy'!O52</f>
        <v>0</v>
      </c>
      <c r="Q38" s="1580"/>
      <c r="R38" s="1580"/>
      <c r="S38" s="1580"/>
      <c r="T38" s="1581">
        <f>ROUND(IPMT(($AA$3%+0.35%)/11,1,$D$171-$D$28+1,$P$172-(SUM($P$4:P37)))*-1,2)</f>
        <v>7580.47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7580.47</v>
      </c>
      <c r="U39" s="1560"/>
      <c r="V39" s="1560"/>
      <c r="W39" s="1560"/>
      <c r="Y39" s="740">
        <f>SUM(T28:W39)</f>
        <v>90965.64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7580.47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7580.47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7580.47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7580.47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7580.47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7580.47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7580.47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7580.47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7580.47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7580.47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groszy'!Q52</f>
        <v>0</v>
      </c>
      <c r="Q50" s="1580"/>
      <c r="R50" s="1580"/>
      <c r="S50" s="1580"/>
      <c r="T50" s="1581">
        <f>ROUND(IPMT(($AA$3%+0.35%)/11,1,$D$171-$D$40+1,$P$172-(SUM($P$4:P49)))*-1,2)</f>
        <v>7580.47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7580.47</v>
      </c>
      <c r="U51" s="1560"/>
      <c r="V51" s="1560"/>
      <c r="W51" s="1560"/>
      <c r="Y51" s="740">
        <f>SUM(T40:W51)</f>
        <v>90965.64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7580.47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7580.47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7580.47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7580.47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7580.47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7580.47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7580.47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7580.47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7580.47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7580.47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groszy'!S52</f>
        <v>0</v>
      </c>
      <c r="Q62" s="1580"/>
      <c r="R62" s="1580"/>
      <c r="S62" s="1580"/>
      <c r="T62" s="1581">
        <f>ROUND(IPMT(($AA$3%+0.35%)/11,1,$D$171-$D$52+1,$P$172-(SUM($P$4:P61)))*-1,2)</f>
        <v>7580.47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7580.47</v>
      </c>
      <c r="U63" s="1560"/>
      <c r="V63" s="1560"/>
      <c r="W63" s="1560"/>
      <c r="Y63" s="740">
        <f>SUM(T52:W63)</f>
        <v>90965.64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7580.47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7580.47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7580.47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7580.47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7580.47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7580.47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7580.47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7580.47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7580.47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7580.47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groszy'!U52</f>
        <v>0</v>
      </c>
      <c r="Q74" s="1580"/>
      <c r="R74" s="1580"/>
      <c r="S74" s="1580"/>
      <c r="T74" s="1581">
        <f>ROUND(IPMT(($AA$3%+0.35%)/11,1,$D$171-$D$64+1,$P$172-(SUM($P$4:P73)))*-1,2)</f>
        <v>7580.47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7580.47</v>
      </c>
      <c r="U75" s="1560"/>
      <c r="V75" s="1560"/>
      <c r="W75" s="1560"/>
      <c r="Y75" s="740">
        <f>SUM(T64:W75)</f>
        <v>90965.64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7580.47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7580.47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7580.47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7580.47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7580.47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7580.47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7580.47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7580.47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7580.47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7580.47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groszy'!W52</f>
        <v>0</v>
      </c>
      <c r="Q86" s="1580"/>
      <c r="R86" s="1580"/>
      <c r="S86" s="1580"/>
      <c r="T86" s="1581">
        <f>ROUND(IPMT(($AA$3%+0.35%)/11,1,$D$171-$D$76+1,$P$172-(SUM($P$4:P85)))*-1,2)</f>
        <v>7580.47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7580.47</v>
      </c>
      <c r="U87" s="1560"/>
      <c r="V87" s="1560"/>
      <c r="W87" s="1560"/>
      <c r="Y87" s="740">
        <f>SUM(T76:W87)</f>
        <v>90965.64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7580.47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7580.47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7580.47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7580.47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7580.47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7580.47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7580.47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7580.47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7580.47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7580.47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groszy'!Y52</f>
        <v>0</v>
      </c>
      <c r="Q98" s="1580"/>
      <c r="R98" s="1580"/>
      <c r="S98" s="1580"/>
      <c r="T98" s="1581">
        <f>ROUND(IPMT(($AA$3%+0.35%)/11,1,$D$171-$D$88+1,$P$172-(SUM($P$4:P97)))*-1,2)</f>
        <v>7580.47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7580.47</v>
      </c>
      <c r="U99" s="1560"/>
      <c r="V99" s="1560"/>
      <c r="W99" s="1560"/>
      <c r="Y99" s="740">
        <f>SUM(T88:W99)</f>
        <v>90965.64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7580.47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7580.47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7580.47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7580.47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7580.47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7580.47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7580.47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7580.47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7580.47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7580.47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groszy'!AA52</f>
        <v>0</v>
      </c>
      <c r="Q110" s="1580"/>
      <c r="R110" s="1580"/>
      <c r="S110" s="1580"/>
      <c r="T110" s="1581">
        <f>ROUND(IPMT(($AA$3%+0.35%)/11,1,$D$171-$D$160+1,$P$172-(SUM($P$4:P109)))*-1,2)</f>
        <v>7580.47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7580.47</v>
      </c>
      <c r="U111" s="1575"/>
      <c r="V111" s="1575"/>
      <c r="W111" s="1575"/>
      <c r="Y111" s="740">
        <f>SUM(T100:W111)</f>
        <v>90965.64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7580.47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7580.47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7580.47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7580.47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7580.47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7580.47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7580.47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7580.47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7580.47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7580.47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groszy'!AC52</f>
        <v>1921317</v>
      </c>
      <c r="Q122" s="1580"/>
      <c r="R122" s="1580"/>
      <c r="S122" s="1580"/>
      <c r="T122" s="1581">
        <f>ROUND(IPMT(($AA$3%+0.35%)/11,1,$D$171-$D$160+1,$P$172-(SUM($P$4:P121)))*-1,2)</f>
        <v>7580.47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83385.17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groszy'!AE52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groszy'!AG52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1921317</v>
      </c>
      <c r="Q172" s="1565"/>
      <c r="R172" s="1565"/>
      <c r="S172" s="1566"/>
      <c r="T172" s="1567">
        <f>SUM(T4:T171)</f>
        <v>902075.92889090674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42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7580.4688909090928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7580.47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7580.47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7580.47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7580.47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7580.47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7580.47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7580.47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7580.47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7580.47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groszy'!K53</f>
        <v>0</v>
      </c>
      <c r="Q14" s="1580"/>
      <c r="R14" s="1580"/>
      <c r="S14" s="1580"/>
      <c r="T14" s="1581">
        <f>ROUND(IPMT(($AA$3%+0.35%)/11,1,$D$171-$D$4+1,$P$172-(SUM($P$4:P13)))*-1,2)</f>
        <v>7580.47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7580.47</v>
      </c>
      <c r="U15" s="1560"/>
      <c r="V15" s="1560"/>
      <c r="W15" s="1560"/>
      <c r="Y15" s="740">
        <f>SUM(T4:W15)</f>
        <v>90965.638890909104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7580.47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7580.47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7580.47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7580.47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7580.47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7580.47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7580.47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7580.47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7580.47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7580.47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groszy'!M53</f>
        <v>0</v>
      </c>
      <c r="Q26" s="1580"/>
      <c r="R26" s="1580"/>
      <c r="S26" s="1580"/>
      <c r="T26" s="1581">
        <f>ROUND(IPMT(($AA$3%+0.35%)/11,1,$D$171-$D$16+1,$P$172-(SUM($P$4:P25)))*-1,2)</f>
        <v>7580.47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7580.47</v>
      </c>
      <c r="U27" s="1560"/>
      <c r="V27" s="1560"/>
      <c r="W27" s="1560"/>
      <c r="Y27" s="740">
        <f>SUM(T16:W27)</f>
        <v>90965.64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7580.47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7580.47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7580.47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7580.47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7580.47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7580.47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7580.47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7580.47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7580.47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7580.47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groszy'!O53</f>
        <v>0</v>
      </c>
      <c r="Q38" s="1580"/>
      <c r="R38" s="1580"/>
      <c r="S38" s="1580"/>
      <c r="T38" s="1581">
        <f>ROUND(IPMT(($AA$3%+0.35%)/11,1,$D$171-$D$28+1,$P$172-(SUM($P$4:P37)))*-1,2)</f>
        <v>7580.47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7580.47</v>
      </c>
      <c r="U39" s="1560"/>
      <c r="V39" s="1560"/>
      <c r="W39" s="1560"/>
      <c r="Y39" s="740">
        <f>SUM(T28:W39)</f>
        <v>90965.64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7580.47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7580.47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7580.47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7580.47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7580.47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7580.47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7580.47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7580.47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7580.47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7580.47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groszy'!Q53</f>
        <v>0</v>
      </c>
      <c r="Q50" s="1580"/>
      <c r="R50" s="1580"/>
      <c r="S50" s="1580"/>
      <c r="T50" s="1581">
        <f>ROUND(IPMT(($AA$3%+0.35%)/11,1,$D$171-$D$40+1,$P$172-(SUM($P$4:P49)))*-1,2)</f>
        <v>7580.47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7580.47</v>
      </c>
      <c r="U51" s="1560"/>
      <c r="V51" s="1560"/>
      <c r="W51" s="1560"/>
      <c r="Y51" s="740">
        <f>SUM(T40:W51)</f>
        <v>90965.64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7580.47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7580.47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7580.47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7580.47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7580.47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7580.47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7580.47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7580.47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7580.47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7580.47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groszy'!S53</f>
        <v>0</v>
      </c>
      <c r="Q62" s="1580"/>
      <c r="R62" s="1580"/>
      <c r="S62" s="1580"/>
      <c r="T62" s="1581">
        <f>ROUND(IPMT(($AA$3%+0.35%)/11,1,$D$171-$D$52+1,$P$172-(SUM($P$4:P61)))*-1,2)</f>
        <v>7580.47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7580.47</v>
      </c>
      <c r="U63" s="1560"/>
      <c r="V63" s="1560"/>
      <c r="W63" s="1560"/>
      <c r="Y63" s="740">
        <f>SUM(T52:W63)</f>
        <v>90965.64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7580.47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7580.47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7580.47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7580.47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7580.47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7580.47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7580.47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7580.47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7580.47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7580.47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groszy'!U53</f>
        <v>0</v>
      </c>
      <c r="Q74" s="1580"/>
      <c r="R74" s="1580"/>
      <c r="S74" s="1580"/>
      <c r="T74" s="1581">
        <f>ROUND(IPMT(($AA$3%+0.35%)/11,1,$D$171-$D$64+1,$P$172-(SUM($P$4:P73)))*-1,2)</f>
        <v>7580.47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7580.47</v>
      </c>
      <c r="U75" s="1560"/>
      <c r="V75" s="1560"/>
      <c r="W75" s="1560"/>
      <c r="Y75" s="740">
        <f>SUM(T64:W75)</f>
        <v>90965.64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7580.47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7580.47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7580.47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7580.47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7580.47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7580.47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7580.47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7580.47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7580.47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7580.47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groszy'!W53</f>
        <v>0</v>
      </c>
      <c r="Q86" s="1580"/>
      <c r="R86" s="1580"/>
      <c r="S86" s="1580"/>
      <c r="T86" s="1581">
        <f>ROUND(IPMT(($AA$3%+0.35%)/11,1,$D$171-$D$76+1,$P$172-(SUM($P$4:P85)))*-1,2)</f>
        <v>7580.47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7580.47</v>
      </c>
      <c r="U87" s="1560"/>
      <c r="V87" s="1560"/>
      <c r="W87" s="1560"/>
      <c r="Y87" s="740">
        <f>SUM(T76:W87)</f>
        <v>90965.64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7580.47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7580.47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7580.47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7580.47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7580.47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7580.47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7580.47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7580.47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7580.47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7580.47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groszy'!Y53</f>
        <v>0</v>
      </c>
      <c r="Q98" s="1580"/>
      <c r="R98" s="1580"/>
      <c r="S98" s="1580"/>
      <c r="T98" s="1581">
        <f>ROUND(IPMT(($AA$3%+0.35%)/11,1,$D$171-$D$88+1,$P$172-(SUM($P$4:P97)))*-1,2)</f>
        <v>7580.47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7580.47</v>
      </c>
      <c r="U99" s="1560"/>
      <c r="V99" s="1560"/>
      <c r="W99" s="1560"/>
      <c r="Y99" s="740">
        <f>SUM(T88:W99)</f>
        <v>90965.64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7580.47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7580.47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7580.47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7580.47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7580.47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7580.47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7580.47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7580.47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7580.47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7580.47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groszy'!AA53</f>
        <v>0</v>
      </c>
      <c r="Q110" s="1580"/>
      <c r="R110" s="1580"/>
      <c r="S110" s="1580"/>
      <c r="T110" s="1581">
        <f>ROUND(IPMT(($AA$3%+0.35%)/11,1,$D$171-$D$160+1,$P$172-(SUM($P$4:P109)))*-1,2)</f>
        <v>7580.47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7580.47</v>
      </c>
      <c r="U111" s="1575"/>
      <c r="V111" s="1575"/>
      <c r="W111" s="1575"/>
      <c r="Y111" s="740">
        <f>SUM(T100:W111)</f>
        <v>90965.64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7580.47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7580.47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7580.47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7580.47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7580.47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7580.47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7580.47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7580.47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7580.47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7580.47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groszy'!AC53</f>
        <v>1921317</v>
      </c>
      <c r="Q122" s="1580"/>
      <c r="R122" s="1580"/>
      <c r="S122" s="1580"/>
      <c r="T122" s="1581">
        <f>ROUND(IPMT(($AA$3%+0.35%)/11,1,$D$171-$D$160+1,$P$172-(SUM($P$4:P121)))*-1,2)</f>
        <v>7580.47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83385.17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groszy'!AE53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groszy'!AG53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1921317</v>
      </c>
      <c r="Q172" s="1565"/>
      <c r="R172" s="1565"/>
      <c r="S172" s="1566"/>
      <c r="T172" s="1567">
        <f>SUM(T4:T171)</f>
        <v>902075.92889090674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33" zoomScaleNormal="100" workbookViewId="0">
      <selection activeCell="T172" sqref="T172:W172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9553.1961636363649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9553.2000000000007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9553.2000000000007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9553.2000000000007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9553.2000000000007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9553.2000000000007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9553.2000000000007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9553.2000000000007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9553.2000000000007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9553.2000000000007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groszy'!K54</f>
        <v>0</v>
      </c>
      <c r="Q14" s="1580"/>
      <c r="R14" s="1580"/>
      <c r="S14" s="1580"/>
      <c r="T14" s="1581">
        <f>ROUND(IPMT(($AA$3%+0.35%)/11,1,$D$171-$D$4+1,$P$172-(SUM($P$4:P13)))*-1,2)</f>
        <v>9553.2000000000007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9553.2000000000007</v>
      </c>
      <c r="U15" s="1560"/>
      <c r="V15" s="1560"/>
      <c r="W15" s="1560"/>
      <c r="Y15" s="740">
        <f>SUM(T4:W15)</f>
        <v>114638.39616363635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9553.2000000000007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9553.2000000000007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9553.2000000000007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9553.2000000000007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9553.2000000000007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9553.2000000000007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9553.2000000000007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9553.2000000000007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9553.2000000000007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9553.2000000000007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groszy'!M54</f>
        <v>0</v>
      </c>
      <c r="Q26" s="1580"/>
      <c r="R26" s="1580"/>
      <c r="S26" s="1580"/>
      <c r="T26" s="1581">
        <f>ROUND(IPMT(($AA$3%+0.35%)/11,1,$D$171-$D$16+1,$P$172-(SUM($P$4:P25)))*-1,2)</f>
        <v>9553.2000000000007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9553.2000000000007</v>
      </c>
      <c r="U27" s="1560"/>
      <c r="V27" s="1560"/>
      <c r="W27" s="1560"/>
      <c r="Y27" s="740">
        <f>SUM(T16:W27)</f>
        <v>114638.39999999998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9553.2000000000007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9553.2000000000007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9553.2000000000007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9553.2000000000007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9553.2000000000007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9553.2000000000007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9553.2000000000007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9553.2000000000007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9553.2000000000007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9553.2000000000007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groszy'!O54</f>
        <v>0</v>
      </c>
      <c r="Q38" s="1580"/>
      <c r="R38" s="1580"/>
      <c r="S38" s="1580"/>
      <c r="T38" s="1581">
        <f>ROUND(IPMT(($AA$3%+0.35%)/11,1,$D$171-$D$28+1,$P$172-(SUM($P$4:P37)))*-1,2)</f>
        <v>9553.2000000000007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9553.2000000000007</v>
      </c>
      <c r="U39" s="1560"/>
      <c r="V39" s="1560"/>
      <c r="W39" s="1560"/>
      <c r="Y39" s="740">
        <f>SUM(T28:W39)</f>
        <v>114638.39999999998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9553.2000000000007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9553.2000000000007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9553.2000000000007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9553.2000000000007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9553.2000000000007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9553.2000000000007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9553.2000000000007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9553.2000000000007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9553.2000000000007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9553.2000000000007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groszy'!Q54</f>
        <v>0</v>
      </c>
      <c r="Q50" s="1580"/>
      <c r="R50" s="1580"/>
      <c r="S50" s="1580"/>
      <c r="T50" s="1581">
        <f>ROUND(IPMT(($AA$3%+0.35%)/11,1,$D$171-$D$40+1,$P$172-(SUM($P$4:P49)))*-1,2)</f>
        <v>9553.2000000000007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9553.2000000000007</v>
      </c>
      <c r="U51" s="1560"/>
      <c r="V51" s="1560"/>
      <c r="W51" s="1560"/>
      <c r="Y51" s="740">
        <f>SUM(T40:W51)</f>
        <v>114638.39999999998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9553.2000000000007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9553.2000000000007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9553.2000000000007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9553.2000000000007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9553.2000000000007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9553.2000000000007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9553.2000000000007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9553.2000000000007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9553.2000000000007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9553.2000000000007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groszy'!S54</f>
        <v>0</v>
      </c>
      <c r="Q62" s="1580"/>
      <c r="R62" s="1580"/>
      <c r="S62" s="1580"/>
      <c r="T62" s="1581">
        <f>ROUND(IPMT(($AA$3%+0.35%)/11,1,$D$171-$D$52+1,$P$172-(SUM($P$4:P61)))*-1,2)</f>
        <v>9553.2000000000007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9553.2000000000007</v>
      </c>
      <c r="U63" s="1560"/>
      <c r="V63" s="1560"/>
      <c r="W63" s="1560"/>
      <c r="Y63" s="740">
        <f>SUM(T52:W63)</f>
        <v>114638.39999999998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9553.2000000000007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9553.2000000000007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9553.2000000000007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9553.2000000000007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9553.2000000000007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9553.2000000000007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9553.2000000000007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9553.2000000000007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9553.2000000000007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9553.2000000000007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groszy'!U54</f>
        <v>0</v>
      </c>
      <c r="Q74" s="1580"/>
      <c r="R74" s="1580"/>
      <c r="S74" s="1580"/>
      <c r="T74" s="1581">
        <f>ROUND(IPMT(($AA$3%+0.35%)/11,1,$D$171-$D$64+1,$P$172-(SUM($P$4:P73)))*-1,2)</f>
        <v>9553.2000000000007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9553.2000000000007</v>
      </c>
      <c r="U75" s="1560"/>
      <c r="V75" s="1560"/>
      <c r="W75" s="1560"/>
      <c r="Y75" s="740">
        <f>SUM(T64:W75)</f>
        <v>114638.39999999998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9553.2000000000007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9553.2000000000007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9553.2000000000007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9553.2000000000007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9553.2000000000007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9553.2000000000007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9553.2000000000007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9553.2000000000007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9553.2000000000007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9553.2000000000007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groszy'!W54</f>
        <v>0</v>
      </c>
      <c r="Q86" s="1580"/>
      <c r="R86" s="1580"/>
      <c r="S86" s="1580"/>
      <c r="T86" s="1581">
        <f>ROUND(IPMT(($AA$3%+0.35%)/11,1,$D$171-$D$76+1,$P$172-(SUM($P$4:P85)))*-1,2)</f>
        <v>9553.2000000000007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9553.2000000000007</v>
      </c>
      <c r="U87" s="1560"/>
      <c r="V87" s="1560"/>
      <c r="W87" s="1560"/>
      <c r="Y87" s="740">
        <f>SUM(T76:W87)</f>
        <v>114638.39999999998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9553.2000000000007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9553.2000000000007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9553.2000000000007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9553.2000000000007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9553.2000000000007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9553.2000000000007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9553.2000000000007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9553.2000000000007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9553.2000000000007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9553.2000000000007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groszy'!Y54</f>
        <v>0</v>
      </c>
      <c r="Q98" s="1580"/>
      <c r="R98" s="1580"/>
      <c r="S98" s="1580"/>
      <c r="T98" s="1581">
        <f>ROUND(IPMT(($AA$3%+0.35%)/11,1,$D$171-$D$88+1,$P$172-(SUM($P$4:P97)))*-1,2)</f>
        <v>9553.2000000000007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9553.2000000000007</v>
      </c>
      <c r="U99" s="1560"/>
      <c r="V99" s="1560"/>
      <c r="W99" s="1560"/>
      <c r="Y99" s="740">
        <f>SUM(T88:W99)</f>
        <v>114638.39999999998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9553.2000000000007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9553.2000000000007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9553.2000000000007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9553.2000000000007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9553.2000000000007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9553.2000000000007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9553.2000000000007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9553.2000000000007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9553.2000000000007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9553.2000000000007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groszy'!AA54</f>
        <v>0</v>
      </c>
      <c r="Q110" s="1580"/>
      <c r="R110" s="1580"/>
      <c r="S110" s="1580"/>
      <c r="T110" s="1581">
        <f>ROUND(IPMT(($AA$3%+0.35%)/11,1,$D$171-$D$160+1,$P$172-(SUM($P$4:P109)))*-1,2)</f>
        <v>9553.2000000000007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9553.2000000000007</v>
      </c>
      <c r="U111" s="1575"/>
      <c r="V111" s="1575"/>
      <c r="W111" s="1575"/>
      <c r="Y111" s="740">
        <f>SUM(T100:W111)</f>
        <v>114638.39999999998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9553.2000000000007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9553.2000000000007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9553.2000000000007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9553.2000000000007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9553.2000000000007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9553.2000000000007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9553.2000000000007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9553.2000000000007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9553.2000000000007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9553.2000000000007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groszy'!AC54</f>
        <v>1829890</v>
      </c>
      <c r="Q122" s="1580"/>
      <c r="R122" s="1580"/>
      <c r="S122" s="1580"/>
      <c r="T122" s="1581">
        <f>ROUND(IPMT(($AA$3%+0.35%)/11,1,$D$171-$D$160+1,$P$172-(SUM($P$4:P121)))*-1,2)</f>
        <v>9553.2000000000007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2333.4499999999998</v>
      </c>
      <c r="U123" s="1575"/>
      <c r="V123" s="1575"/>
      <c r="W123" s="1575"/>
      <c r="Y123" s="740">
        <f>SUM(T112:W123)</f>
        <v>107418.64999999998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2333.4499999999998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2333.4499999999998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2333.4499999999998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2333.4499999999998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2333.4499999999998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2333.4499999999998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2333.4499999999998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2333.4499999999998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2333.4499999999998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2333.4499999999998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groszy'!AE54</f>
        <v>591427</v>
      </c>
      <c r="Q134" s="1580"/>
      <c r="R134" s="1580"/>
      <c r="S134" s="1580"/>
      <c r="T134" s="1581">
        <f>ROUND(IPMT(($AA$3%+0.35%)/11,1,$D$171-$D$160+1,$P$172-(SUM($P$4:P133)))*-1,2)</f>
        <v>2333.4499999999998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25667.950000000004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groszy'!AG54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2421317</v>
      </c>
      <c r="Q172" s="1565"/>
      <c r="R172" s="1565"/>
      <c r="S172" s="1566"/>
      <c r="T172" s="1567">
        <f>SUM(T4:T171)</f>
        <v>1164832.1961636334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R66"/>
  <sheetViews>
    <sheetView view="pageBreakPreview" topLeftCell="A4" zoomScale="85" zoomScaleNormal="100" zoomScaleSheetLayoutView="85" workbookViewId="0">
      <selection activeCell="H29" sqref="H29"/>
    </sheetView>
  </sheetViews>
  <sheetFormatPr defaultColWidth="9.140625" defaultRowHeight="12.75" zeroHeight="1"/>
  <cols>
    <col min="1" max="1" width="3" style="312" customWidth="1"/>
    <col min="2" max="2" width="4.140625" style="312" customWidth="1"/>
    <col min="3" max="3" width="30.7109375" style="312" customWidth="1"/>
    <col min="4" max="4" width="17.7109375" style="312" customWidth="1"/>
    <col min="5" max="5" width="15.85546875" style="312" customWidth="1"/>
    <col min="6" max="17" width="17.7109375" style="312" customWidth="1"/>
    <col min="18" max="18" width="17.7109375" customWidth="1"/>
    <col min="19" max="19" width="2.42578125" customWidth="1"/>
  </cols>
  <sheetData>
    <row r="1" spans="2:18">
      <c r="M1" s="941" t="s">
        <v>219</v>
      </c>
      <c r="N1" s="941"/>
      <c r="O1" s="941"/>
      <c r="P1" s="941"/>
      <c r="Q1" s="941"/>
    </row>
    <row r="2" spans="2:18"/>
    <row r="3" spans="2:18" ht="35.25">
      <c r="B3" s="942" t="s">
        <v>220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</row>
    <row r="4" spans="2:18" ht="13.5" thickBot="1"/>
    <row r="5" spans="2:18" ht="14.25" thickTop="1" thickBot="1">
      <c r="B5" s="943" t="s">
        <v>221</v>
      </c>
      <c r="C5" s="945" t="s">
        <v>0</v>
      </c>
      <c r="D5" s="945" t="s">
        <v>222</v>
      </c>
      <c r="E5" s="945" t="s">
        <v>223</v>
      </c>
      <c r="F5" s="947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</row>
    <row r="6" spans="2:18" ht="13.5" thickTop="1">
      <c r="B6" s="944"/>
      <c r="C6" s="946"/>
      <c r="D6" s="946"/>
      <c r="E6" s="946"/>
      <c r="F6" s="313">
        <v>2012</v>
      </c>
      <c r="G6" s="314">
        <f t="shared" ref="G6:R6" si="0">F6+1</f>
        <v>2013</v>
      </c>
      <c r="H6" s="315">
        <f t="shared" si="0"/>
        <v>2014</v>
      </c>
      <c r="I6" s="315">
        <f t="shared" si="0"/>
        <v>2015</v>
      </c>
      <c r="J6" s="315">
        <f t="shared" si="0"/>
        <v>2016</v>
      </c>
      <c r="K6" s="315">
        <f t="shared" si="0"/>
        <v>2017</v>
      </c>
      <c r="L6" s="315">
        <f t="shared" si="0"/>
        <v>2018</v>
      </c>
      <c r="M6" s="315">
        <f t="shared" si="0"/>
        <v>2019</v>
      </c>
      <c r="N6" s="315">
        <f t="shared" si="0"/>
        <v>2020</v>
      </c>
      <c r="O6" s="315">
        <f t="shared" si="0"/>
        <v>2021</v>
      </c>
      <c r="P6" s="315">
        <f t="shared" si="0"/>
        <v>2022</v>
      </c>
      <c r="Q6" s="315">
        <f t="shared" si="0"/>
        <v>2023</v>
      </c>
      <c r="R6" s="315">
        <f t="shared" si="0"/>
        <v>2024</v>
      </c>
    </row>
    <row r="7" spans="2:18">
      <c r="B7" s="316"/>
      <c r="C7" s="317"/>
      <c r="D7" s="317"/>
      <c r="E7" s="317"/>
      <c r="F7" s="318"/>
      <c r="G7" s="319"/>
      <c r="H7" s="320"/>
      <c r="I7" s="321"/>
      <c r="J7" s="322"/>
      <c r="K7" s="322"/>
      <c r="L7" s="322"/>
      <c r="M7" s="322"/>
      <c r="N7" s="322"/>
      <c r="O7" s="322"/>
      <c r="P7" s="322"/>
      <c r="Q7" s="322"/>
      <c r="R7" s="322"/>
    </row>
    <row r="8" spans="2:18">
      <c r="B8" s="323">
        <v>1</v>
      </c>
      <c r="C8" s="324" t="s">
        <v>224</v>
      </c>
      <c r="D8" s="746">
        <f>SUM(D9:D19)</f>
        <v>5721940.9900000002</v>
      </c>
      <c r="E8" s="747"/>
      <c r="F8" s="748">
        <f>SUM(F9:F24)</f>
        <v>2210961</v>
      </c>
      <c r="G8" s="749">
        <f t="shared" ref="G8:P8" si="1">SUM(G9:G24)</f>
        <v>3835416</v>
      </c>
      <c r="H8" s="746">
        <f t="shared" si="1"/>
        <v>6385448</v>
      </c>
      <c r="I8" s="746">
        <f t="shared" si="1"/>
        <v>5918878</v>
      </c>
      <c r="J8" s="746">
        <f t="shared" si="1"/>
        <v>5100329</v>
      </c>
      <c r="K8" s="746">
        <f t="shared" si="1"/>
        <v>4311092</v>
      </c>
      <c r="L8" s="746">
        <f t="shared" si="1"/>
        <v>3572850</v>
      </c>
      <c r="M8" s="746">
        <f t="shared" si="1"/>
        <v>2931426</v>
      </c>
      <c r="N8" s="746">
        <f t="shared" si="1"/>
        <v>2310345</v>
      </c>
      <c r="O8" s="746">
        <f t="shared" si="1"/>
        <v>1689264</v>
      </c>
      <c r="P8" s="746">
        <f t="shared" si="1"/>
        <v>1068183</v>
      </c>
      <c r="Q8" s="746">
        <f t="shared" ref="Q8:R8" si="2">SUM(Q9:Q24)</f>
        <v>447102</v>
      </c>
      <c r="R8" s="746">
        <f t="shared" si="2"/>
        <v>54553</v>
      </c>
    </row>
    <row r="9" spans="2:18">
      <c r="B9" s="326" t="s">
        <v>37</v>
      </c>
      <c r="C9" s="327" t="s">
        <v>225</v>
      </c>
      <c r="D9" s="750">
        <v>518029</v>
      </c>
      <c r="E9" s="764">
        <v>2004</v>
      </c>
      <c r="F9" s="752">
        <f>'HSZ do złotówek'!AM14</f>
        <v>57557</v>
      </c>
      <c r="G9" s="753">
        <f>'HSZ do złotówek'!AP14</f>
        <v>0</v>
      </c>
      <c r="H9" s="750">
        <f>'HSZ do złotówek'!AS14</f>
        <v>0</v>
      </c>
      <c r="I9" s="754">
        <f>'HSZ do złotówek'!AV14</f>
        <v>0</v>
      </c>
      <c r="J9" s="750">
        <f>'HSZ do złotówek'!AY14</f>
        <v>0</v>
      </c>
      <c r="K9" s="750">
        <f>'HSZ do złotówek'!BB14</f>
        <v>0</v>
      </c>
      <c r="L9" s="750">
        <f>'HSZ do złotówek'!BE14</f>
        <v>0</v>
      </c>
      <c r="M9" s="750">
        <f>'HSZ do złotówek'!BH14</f>
        <v>0</v>
      </c>
      <c r="N9" s="750">
        <f>'HSZ do złotówek'!BK14</f>
        <v>0</v>
      </c>
      <c r="O9" s="750">
        <f>'HSZ do złotówek'!BN14</f>
        <v>0</v>
      </c>
      <c r="P9" s="750">
        <f>'HSZ do złotówek'!BQ14</f>
        <v>0</v>
      </c>
      <c r="Q9" s="750">
        <f>'HSZ do złotówek'!BT14</f>
        <v>0</v>
      </c>
      <c r="R9" s="750">
        <f>'HSZ do złotówek'!BW14</f>
        <v>0</v>
      </c>
    </row>
    <row r="10" spans="2:18">
      <c r="B10" s="326" t="s">
        <v>38</v>
      </c>
      <c r="C10" s="327" t="s">
        <v>226</v>
      </c>
      <c r="D10" s="750">
        <v>1498996</v>
      </c>
      <c r="E10" s="764">
        <v>2005</v>
      </c>
      <c r="F10" s="752">
        <f>'HSZ do złotówek'!AM15</f>
        <v>599536</v>
      </c>
      <c r="G10" s="753">
        <f>'HSZ do złotówek'!AP15</f>
        <v>399656</v>
      </c>
      <c r="H10" s="750">
        <f>'HSZ do złotówek'!AS15</f>
        <v>199776</v>
      </c>
      <c r="I10" s="754">
        <f>'HSZ do złotówek'!AV15</f>
        <v>0</v>
      </c>
      <c r="J10" s="750">
        <f>'HSZ do złotówek'!AY15</f>
        <v>0</v>
      </c>
      <c r="K10" s="750">
        <f>'HSZ do złotówek'!BB15</f>
        <v>0</v>
      </c>
      <c r="L10" s="750">
        <f>'HSZ do złotówek'!BE15</f>
        <v>0</v>
      </c>
      <c r="M10" s="750">
        <f>'HSZ do złotówek'!BH15</f>
        <v>0</v>
      </c>
      <c r="N10" s="750">
        <f>'HSZ do złotówek'!BK15</f>
        <v>0</v>
      </c>
      <c r="O10" s="750">
        <f>'HSZ do złotówek'!BN15</f>
        <v>0</v>
      </c>
      <c r="P10" s="750">
        <f>'HSZ do złotówek'!BQ15</f>
        <v>0</v>
      </c>
      <c r="Q10" s="750">
        <f>'HSZ do złotówek'!BT15</f>
        <v>0</v>
      </c>
      <c r="R10" s="750">
        <f>'HSZ do złotówek'!BW15</f>
        <v>0</v>
      </c>
    </row>
    <row r="11" spans="2:18">
      <c r="B11" s="326" t="s">
        <v>45</v>
      </c>
      <c r="C11" s="327" t="s">
        <v>227</v>
      </c>
      <c r="D11" s="750">
        <v>138349</v>
      </c>
      <c r="E11" s="764">
        <v>2008</v>
      </c>
      <c r="F11" s="752">
        <f>'HSZ do złotówek'!AM16</f>
        <v>88389</v>
      </c>
      <c r="G11" s="753">
        <f>'HSZ do złotówek'!AP16</f>
        <v>73017</v>
      </c>
      <c r="H11" s="750">
        <f>'HSZ do złotówek'!AS16</f>
        <v>57645</v>
      </c>
      <c r="I11" s="754">
        <f>'HSZ do złotówek'!AV16</f>
        <v>42273</v>
      </c>
      <c r="J11" s="750">
        <f>'HSZ do złotówek'!AY16</f>
        <v>26901</v>
      </c>
      <c r="K11" s="750">
        <f>'HSZ do złotówek'!BB16</f>
        <v>11529</v>
      </c>
      <c r="L11" s="750">
        <f>'HSZ do złotówek'!BE16</f>
        <v>0</v>
      </c>
      <c r="M11" s="750">
        <f>'HSZ do złotówek'!BH16</f>
        <v>0</v>
      </c>
      <c r="N11" s="750">
        <f>'HSZ do złotówek'!BK16</f>
        <v>0</v>
      </c>
      <c r="O11" s="750">
        <f>'HSZ do złotówek'!BN16</f>
        <v>0</v>
      </c>
      <c r="P11" s="750">
        <f>'HSZ do złotówek'!BQ16</f>
        <v>0</v>
      </c>
      <c r="Q11" s="750">
        <f>'HSZ do złotówek'!BT16</f>
        <v>0</v>
      </c>
      <c r="R11" s="750">
        <f>'HSZ do złotówek'!BW16</f>
        <v>0</v>
      </c>
    </row>
    <row r="12" spans="2:18">
      <c r="B12" s="326" t="s">
        <v>228</v>
      </c>
      <c r="C12" s="327" t="s">
        <v>229</v>
      </c>
      <c r="D12" s="750">
        <v>499709</v>
      </c>
      <c r="E12" s="764">
        <v>2007</v>
      </c>
      <c r="F12" s="752">
        <f>'HSZ do złotówek'!AM17</f>
        <v>285000</v>
      </c>
      <c r="G12" s="753">
        <f>'HSZ do złotówek'!AP17</f>
        <v>237500</v>
      </c>
      <c r="H12" s="750">
        <f>'HSZ do złotówek'!AS17</f>
        <v>190000</v>
      </c>
      <c r="I12" s="754">
        <f>'HSZ do złotówek'!AV17</f>
        <v>142500</v>
      </c>
      <c r="J12" s="750">
        <f>'HSZ do złotówek'!AY17</f>
        <v>95000</v>
      </c>
      <c r="K12" s="750">
        <f>'HSZ do złotówek'!BB17</f>
        <v>47500</v>
      </c>
      <c r="L12" s="750">
        <f>'HSZ do złotówek'!BE17</f>
        <v>0</v>
      </c>
      <c r="M12" s="750">
        <f>'HSZ do złotówek'!BH17</f>
        <v>0</v>
      </c>
      <c r="N12" s="750">
        <f>'HSZ do złotówek'!BK17</f>
        <v>0</v>
      </c>
      <c r="O12" s="750">
        <f>'HSZ do złotówek'!BN17</f>
        <v>0</v>
      </c>
      <c r="P12" s="750">
        <f>'HSZ do złotówek'!BQ17</f>
        <v>0</v>
      </c>
      <c r="Q12" s="750">
        <f>'HSZ do złotówek'!BT17</f>
        <v>0</v>
      </c>
      <c r="R12" s="750">
        <f>'HSZ do złotówek'!BW17</f>
        <v>0</v>
      </c>
    </row>
    <row r="13" spans="2:18">
      <c r="B13" s="326" t="s">
        <v>230</v>
      </c>
      <c r="C13" s="327" t="s">
        <v>231</v>
      </c>
      <c r="D13" s="750">
        <v>307667</v>
      </c>
      <c r="E13" s="764">
        <v>2003</v>
      </c>
      <c r="F13" s="752">
        <f>'HSZ do złotówek'!AM18</f>
        <v>0</v>
      </c>
      <c r="G13" s="753">
        <f>'HSZ do złotówek'!AP18</f>
        <v>0</v>
      </c>
      <c r="H13" s="750">
        <f>'HSZ do złotówek'!AS18</f>
        <v>0</v>
      </c>
      <c r="I13" s="754">
        <f>'HSZ do złotówek'!AV18</f>
        <v>0</v>
      </c>
      <c r="J13" s="750">
        <f>'HSZ do złotówek'!AY18</f>
        <v>0</v>
      </c>
      <c r="K13" s="750">
        <f>'HSZ do złotówek'!BB18</f>
        <v>0</v>
      </c>
      <c r="L13" s="750">
        <f>'HSZ do złotówek'!BE18</f>
        <v>0</v>
      </c>
      <c r="M13" s="750">
        <f>'HSZ do złotówek'!BH18</f>
        <v>0</v>
      </c>
      <c r="N13" s="750">
        <f>'HSZ do złotówek'!BK18</f>
        <v>0</v>
      </c>
      <c r="O13" s="750">
        <f>'HSZ do złotówek'!BN18</f>
        <v>0</v>
      </c>
      <c r="P13" s="750">
        <f>'HSZ do złotówek'!BQ18</f>
        <v>0</v>
      </c>
      <c r="Q13" s="750">
        <f>'HSZ do złotówek'!BT18</f>
        <v>0</v>
      </c>
      <c r="R13" s="750">
        <f>'HSZ do złotówek'!BW18</f>
        <v>0</v>
      </c>
    </row>
    <row r="14" spans="2:18">
      <c r="B14" s="326" t="s">
        <v>232</v>
      </c>
      <c r="C14" s="327" t="s">
        <v>233</v>
      </c>
      <c r="D14" s="750">
        <v>366174</v>
      </c>
      <c r="E14" s="764">
        <v>2008</v>
      </c>
      <c r="F14" s="752">
        <f>'HSZ do złotówek'!AM19</f>
        <v>255174</v>
      </c>
      <c r="G14" s="753">
        <f>'HSZ do złotówek'!AP19</f>
        <v>218174</v>
      </c>
      <c r="H14" s="750">
        <f>'HSZ do złotówek'!AS19</f>
        <v>183087</v>
      </c>
      <c r="I14" s="754">
        <f>'HSZ do złotówek'!AV19</f>
        <v>142401</v>
      </c>
      <c r="J14" s="750">
        <f>'HSZ do złotówek'!AY19</f>
        <v>101715</v>
      </c>
      <c r="K14" s="750">
        <f>'HSZ do złotówek'!BB19</f>
        <v>61029</v>
      </c>
      <c r="L14" s="750">
        <f>'HSZ do złotówek'!BE19</f>
        <v>20343</v>
      </c>
      <c r="M14" s="750">
        <f>'HSZ do złotówek'!BH19</f>
        <v>0</v>
      </c>
      <c r="N14" s="750">
        <f>'HSZ do złotówek'!BK19</f>
        <v>0</v>
      </c>
      <c r="O14" s="750">
        <f>'HSZ do złotówek'!BN19</f>
        <v>0</v>
      </c>
      <c r="P14" s="750">
        <f>'HSZ do złotówek'!BQ19</f>
        <v>0</v>
      </c>
      <c r="Q14" s="750">
        <f>'HSZ do złotówek'!BT19</f>
        <v>0</v>
      </c>
      <c r="R14" s="750">
        <f>'HSZ do złotówek'!BW19</f>
        <v>0</v>
      </c>
    </row>
    <row r="15" spans="2:18">
      <c r="B15" s="326" t="s">
        <v>234</v>
      </c>
      <c r="C15" s="330" t="s">
        <v>235</v>
      </c>
      <c r="D15" s="750">
        <v>562761</v>
      </c>
      <c r="E15" s="764">
        <v>2005</v>
      </c>
      <c r="F15" s="752">
        <f>'HSZ do złotówek'!AM20</f>
        <v>203202</v>
      </c>
      <c r="G15" s="753">
        <f>'HSZ do złotówek'!AP20</f>
        <v>140670</v>
      </c>
      <c r="H15" s="750">
        <f>'HSZ do złotówek'!AS20</f>
        <v>78138</v>
      </c>
      <c r="I15" s="754">
        <f>'HSZ do złotówek'!AV20</f>
        <v>15606</v>
      </c>
      <c r="J15" s="750">
        <f>'HSZ do złotówek'!AY20</f>
        <v>0</v>
      </c>
      <c r="K15" s="750">
        <f>'HSZ do złotówek'!BB20</f>
        <v>0</v>
      </c>
      <c r="L15" s="750">
        <f>'HSZ do złotówek'!BE20</f>
        <v>0</v>
      </c>
      <c r="M15" s="750">
        <f>'HSZ do złotówek'!BH20</f>
        <v>0</v>
      </c>
      <c r="N15" s="750">
        <f>'HSZ do złotówek'!BK20</f>
        <v>0</v>
      </c>
      <c r="O15" s="750">
        <f>'HSZ do złotówek'!BN20</f>
        <v>0</v>
      </c>
      <c r="P15" s="750">
        <f>'HSZ do złotówek'!BQ20</f>
        <v>0</v>
      </c>
      <c r="Q15" s="750">
        <f>'HSZ do złotówek'!BT20</f>
        <v>0</v>
      </c>
      <c r="R15" s="750">
        <f>'HSZ do złotówek'!BW20</f>
        <v>0</v>
      </c>
    </row>
    <row r="16" spans="2:18">
      <c r="B16" s="326" t="s">
        <v>236</v>
      </c>
      <c r="C16" s="330" t="s">
        <v>237</v>
      </c>
      <c r="D16" s="750">
        <v>917338</v>
      </c>
      <c r="E16" s="764">
        <v>2006</v>
      </c>
      <c r="F16" s="752">
        <f>'HSZ do złotówek'!AM21</f>
        <v>185098</v>
      </c>
      <c r="G16" s="753">
        <f>'HSZ do złotówek'!AP21</f>
        <v>22378</v>
      </c>
      <c r="H16" s="750">
        <f>'HSZ do złotówek'!AS21</f>
        <v>0</v>
      </c>
      <c r="I16" s="754">
        <f>'HSZ do złotówek'!AV21</f>
        <v>0</v>
      </c>
      <c r="J16" s="750">
        <f>'HSZ do złotówek'!AY21</f>
        <v>0</v>
      </c>
      <c r="K16" s="750">
        <f>'HSZ do złotówek'!BB21</f>
        <v>0</v>
      </c>
      <c r="L16" s="750">
        <f>'HSZ do złotówek'!BE21</f>
        <v>0</v>
      </c>
      <c r="M16" s="750">
        <f>'HSZ do złotówek'!BH21</f>
        <v>0</v>
      </c>
      <c r="N16" s="750">
        <f>'HSZ do złotówek'!BK21</f>
        <v>0</v>
      </c>
      <c r="O16" s="750">
        <f>'HSZ do złotówek'!BN21</f>
        <v>0</v>
      </c>
      <c r="P16" s="750">
        <f>'HSZ do złotówek'!BQ21</f>
        <v>0</v>
      </c>
      <c r="Q16" s="750">
        <f>'HSZ do złotówek'!BT21</f>
        <v>0</v>
      </c>
      <c r="R16" s="750">
        <f>'HSZ do złotówek'!BW21</f>
        <v>0</v>
      </c>
    </row>
    <row r="17" spans="1:18">
      <c r="B17" s="326" t="s">
        <v>238</v>
      </c>
      <c r="C17" s="330" t="s">
        <v>239</v>
      </c>
      <c r="D17" s="750">
        <v>548278</v>
      </c>
      <c r="E17" s="764">
        <v>2006</v>
      </c>
      <c r="F17" s="752">
        <f>'HSZ do złotówek'!AM22</f>
        <v>260414</v>
      </c>
      <c r="G17" s="753">
        <f>'HSZ do złotówek'!AP22</f>
        <v>205590</v>
      </c>
      <c r="H17" s="750">
        <f>'HSZ do złotówek'!AS22</f>
        <v>150766</v>
      </c>
      <c r="I17" s="754">
        <f>'HSZ do złotówek'!AV22</f>
        <v>95942</v>
      </c>
      <c r="J17" s="750">
        <f>'HSZ do złotówek'!AY22</f>
        <v>41118</v>
      </c>
      <c r="K17" s="750">
        <f>'HSZ do złotówek'!BB22</f>
        <v>0</v>
      </c>
      <c r="L17" s="750">
        <f>'HSZ do złotówek'!BE22</f>
        <v>0</v>
      </c>
      <c r="M17" s="750">
        <f>'HSZ do złotówek'!BH22</f>
        <v>0</v>
      </c>
      <c r="N17" s="750">
        <f>'HSZ do złotówek'!BK22</f>
        <v>0</v>
      </c>
      <c r="O17" s="750">
        <f>'HSZ do złotówek'!BN22</f>
        <v>0</v>
      </c>
      <c r="P17" s="750">
        <f>'HSZ do złotówek'!BQ22</f>
        <v>0</v>
      </c>
      <c r="Q17" s="750">
        <f>'HSZ do złotówek'!BT22</f>
        <v>0</v>
      </c>
      <c r="R17" s="750">
        <f>'HSZ do złotówek'!BW22</f>
        <v>0</v>
      </c>
    </row>
    <row r="18" spans="1:18">
      <c r="B18" s="326" t="s">
        <v>240</v>
      </c>
      <c r="C18" s="330" t="s">
        <v>241</v>
      </c>
      <c r="D18" s="750">
        <v>222896</v>
      </c>
      <c r="E18" s="764">
        <v>2007</v>
      </c>
      <c r="F18" s="752">
        <f>'HSZ do złotówek'!AM23</f>
        <v>134846</v>
      </c>
      <c r="G18" s="753">
        <f>'HSZ do złotówek'!AP23</f>
        <v>111366</v>
      </c>
      <c r="H18" s="750">
        <f>'HSZ do złotówek'!AS23</f>
        <v>87886</v>
      </c>
      <c r="I18" s="754">
        <f>'HSZ do złotówek'!AV23</f>
        <v>64406</v>
      </c>
      <c r="J18" s="750">
        <f>'HSZ do złotówek'!AY23</f>
        <v>40926</v>
      </c>
      <c r="K18" s="750">
        <f>'HSZ do złotówek'!BB23</f>
        <v>17446</v>
      </c>
      <c r="L18" s="750">
        <f>'HSZ do złotówek'!BE23</f>
        <v>0</v>
      </c>
      <c r="M18" s="750">
        <f>'HSZ do złotówek'!BH23</f>
        <v>0</v>
      </c>
      <c r="N18" s="750">
        <f>'HSZ do złotówek'!BK23</f>
        <v>0</v>
      </c>
      <c r="O18" s="750">
        <f>'HSZ do złotówek'!BN23</f>
        <v>0</v>
      </c>
      <c r="P18" s="750">
        <f>'HSZ do złotówek'!BQ23</f>
        <v>0</v>
      </c>
      <c r="Q18" s="750">
        <f>'HSZ do złotówek'!BT23</f>
        <v>0</v>
      </c>
      <c r="R18" s="750">
        <f>'HSZ do złotówek'!BW23</f>
        <v>0</v>
      </c>
    </row>
    <row r="19" spans="1:18">
      <c r="B19" s="326" t="s">
        <v>242</v>
      </c>
      <c r="C19" s="330" t="s">
        <v>243</v>
      </c>
      <c r="D19" s="750">
        <v>141743.99</v>
      </c>
      <c r="E19" s="764">
        <v>2006</v>
      </c>
      <c r="F19" s="752">
        <f>'HSZ do złotówek'!AM24</f>
        <v>141745</v>
      </c>
      <c r="G19" s="753">
        <f>'HSZ do złotówek'!AP24</f>
        <v>141745</v>
      </c>
      <c r="H19" s="750">
        <f>'HSZ do złotówek'!AS24</f>
        <v>1402</v>
      </c>
      <c r="I19" s="754">
        <f>'HSZ do złotówek'!AV24</f>
        <v>0</v>
      </c>
      <c r="J19" s="750">
        <f>'HSZ do złotówek'!AY24</f>
        <v>0</v>
      </c>
      <c r="K19" s="750">
        <f>'HSZ do złotówek'!BB24</f>
        <v>0</v>
      </c>
      <c r="L19" s="750">
        <f>'HSZ do złotówek'!BE24</f>
        <v>0</v>
      </c>
      <c r="M19" s="750">
        <f>'HSZ do złotówek'!BH24</f>
        <v>0</v>
      </c>
      <c r="N19" s="750">
        <f>'HSZ do złotówek'!BK24</f>
        <v>0</v>
      </c>
      <c r="O19" s="750">
        <f>'HSZ do złotówek'!BN24</f>
        <v>0</v>
      </c>
      <c r="P19" s="750">
        <f>'HSZ do złotówek'!BQ24</f>
        <v>0</v>
      </c>
      <c r="Q19" s="750">
        <f>'HSZ do złotówek'!BT24</f>
        <v>0</v>
      </c>
      <c r="R19" s="750">
        <f>'HSZ do złotówek'!BW24</f>
        <v>0</v>
      </c>
    </row>
    <row r="20" spans="1:18">
      <c r="B20" s="326"/>
      <c r="C20" s="331" t="s">
        <v>244</v>
      </c>
      <c r="D20" s="910"/>
      <c r="E20" s="911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3"/>
    </row>
    <row r="21" spans="1:18">
      <c r="B21" s="326" t="s">
        <v>245</v>
      </c>
      <c r="C21" s="331" t="s">
        <v>374</v>
      </c>
      <c r="D21" s="914"/>
      <c r="E21" s="915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7"/>
    </row>
    <row r="22" spans="1:18">
      <c r="B22" s="326"/>
      <c r="C22" s="889" t="str">
        <f>'HSZ do złotówek'!A27</f>
        <v>pożyczka 2013</v>
      </c>
      <c r="D22" s="750"/>
      <c r="E22" s="751"/>
      <c r="F22" s="752">
        <f>'HSZ do złotówek'!AM27</f>
        <v>0</v>
      </c>
      <c r="G22" s="753">
        <f>'HSZ do złotówek'!AP27</f>
        <v>2285320</v>
      </c>
      <c r="H22" s="750">
        <f>'HSZ do złotówek'!AS27</f>
        <v>2056788</v>
      </c>
      <c r="I22" s="754">
        <f>'HSZ do złotówek'!AV27</f>
        <v>1828256</v>
      </c>
      <c r="J22" s="750">
        <f>'HSZ do złotówek'!AY27</f>
        <v>1599724</v>
      </c>
      <c r="K22" s="750">
        <f>'HSZ do złotówek'!BB27</f>
        <v>1371192</v>
      </c>
      <c r="L22" s="750">
        <f>'HSZ do złotówek'!BE27</f>
        <v>1142660</v>
      </c>
      <c r="M22" s="750">
        <f>'HSZ do złotówek'!BH27</f>
        <v>914128</v>
      </c>
      <c r="N22" s="750">
        <f>'HSZ do złotówek'!BK27</f>
        <v>685596</v>
      </c>
      <c r="O22" s="750">
        <f>'HSZ do złotówek'!BN27</f>
        <v>457064</v>
      </c>
      <c r="P22" s="750">
        <f>'HSZ do złotówek'!BQ27</f>
        <v>228532</v>
      </c>
      <c r="Q22" s="750">
        <f>'HSZ do złotówek'!BT27</f>
        <v>0</v>
      </c>
      <c r="R22" s="750">
        <f>'HSZ do złotówek'!BW27</f>
        <v>0</v>
      </c>
    </row>
    <row r="23" spans="1:18">
      <c r="B23" s="326"/>
      <c r="C23" s="889" t="str">
        <f>'HSZ do złotówek'!A28</f>
        <v>pożyczka 2014</v>
      </c>
      <c r="D23" s="750"/>
      <c r="E23" s="751"/>
      <c r="F23" s="752">
        <f>'HSZ do złotówek'!AM28</f>
        <v>0</v>
      </c>
      <c r="G23" s="753">
        <f>'HSZ do złotówek'!AP28</f>
        <v>0</v>
      </c>
      <c r="H23" s="750">
        <f>'HSZ do złotówek'!AS28</f>
        <v>3379960</v>
      </c>
      <c r="I23" s="754">
        <f>'HSZ do złotówek'!AV28</f>
        <v>3041964</v>
      </c>
      <c r="J23" s="750">
        <f>'HSZ do złotówek'!AY28</f>
        <v>2703968</v>
      </c>
      <c r="K23" s="750">
        <f>'HSZ do złotówek'!BB28</f>
        <v>2365972</v>
      </c>
      <c r="L23" s="750">
        <f>'HSZ do złotówek'!BE28</f>
        <v>2027976</v>
      </c>
      <c r="M23" s="750">
        <f>'HSZ do złotówek'!BH28</f>
        <v>1689980</v>
      </c>
      <c r="N23" s="750">
        <f>'HSZ do złotówek'!BK28</f>
        <v>1351984</v>
      </c>
      <c r="O23" s="750">
        <f>'HSZ do złotówek'!BN28</f>
        <v>1013988</v>
      </c>
      <c r="P23" s="750">
        <f>'HSZ do złotówek'!BQ28</f>
        <v>675992</v>
      </c>
      <c r="Q23" s="750">
        <f>'HSZ do złotówek'!BT28</f>
        <v>337996</v>
      </c>
      <c r="R23" s="750">
        <f>'HSZ do złotówek'!BW28</f>
        <v>0</v>
      </c>
    </row>
    <row r="24" spans="1:18">
      <c r="B24" s="326"/>
      <c r="C24" s="889" t="str">
        <f>'HSZ do złotówek'!A29</f>
        <v>pożyczka 2015</v>
      </c>
      <c r="D24" s="750"/>
      <c r="E24" s="751"/>
      <c r="F24" s="752">
        <f>'HSZ do złotówek'!AM29</f>
        <v>0</v>
      </c>
      <c r="G24" s="753">
        <f>'HSZ do złotówek'!AP29</f>
        <v>0</v>
      </c>
      <c r="H24" s="750">
        <f>'HSZ do złotówek'!AS29</f>
        <v>0</v>
      </c>
      <c r="I24" s="754">
        <f>'HSZ do złotówek'!AV29</f>
        <v>545530</v>
      </c>
      <c r="J24" s="750">
        <f>'HSZ do złotówek'!AY29</f>
        <v>490977</v>
      </c>
      <c r="K24" s="750">
        <f>'HSZ do złotówek'!BB29</f>
        <v>436424</v>
      </c>
      <c r="L24" s="750">
        <f>'HSZ do złotówek'!BE29</f>
        <v>381871</v>
      </c>
      <c r="M24" s="750">
        <f>'HSZ do złotówek'!BH29</f>
        <v>327318</v>
      </c>
      <c r="N24" s="750">
        <f>'HSZ do złotówek'!BK29</f>
        <v>272765</v>
      </c>
      <c r="O24" s="750">
        <f>'HSZ do złotówek'!BN29</f>
        <v>218212</v>
      </c>
      <c r="P24" s="750">
        <f>'HSZ do złotówek'!BQ29</f>
        <v>163659</v>
      </c>
      <c r="Q24" s="750">
        <f>'HSZ do złotówek'!BT29</f>
        <v>109106</v>
      </c>
      <c r="R24" s="750">
        <f>'HSZ do złotówek'!BW29</f>
        <v>54553</v>
      </c>
    </row>
    <row r="25" spans="1:18">
      <c r="A25" s="332"/>
      <c r="B25" s="333" t="s">
        <v>246</v>
      </c>
      <c r="C25" s="334" t="s">
        <v>247</v>
      </c>
      <c r="D25" s="755">
        <f>D26</f>
        <v>0</v>
      </c>
      <c r="E25" s="755"/>
      <c r="F25" s="756">
        <f t="shared" ref="F25:P25" si="3">SUM(F26:F27)</f>
        <v>0</v>
      </c>
      <c r="G25" s="757">
        <f t="shared" si="3"/>
        <v>0</v>
      </c>
      <c r="H25" s="755">
        <f t="shared" si="3"/>
        <v>0</v>
      </c>
      <c r="I25" s="755">
        <f t="shared" si="3"/>
        <v>0</v>
      </c>
      <c r="J25" s="755">
        <f t="shared" si="3"/>
        <v>0</v>
      </c>
      <c r="K25" s="755">
        <f t="shared" si="3"/>
        <v>0</v>
      </c>
      <c r="L25" s="755">
        <f t="shared" si="3"/>
        <v>0</v>
      </c>
      <c r="M25" s="755">
        <f t="shared" si="3"/>
        <v>0</v>
      </c>
      <c r="N25" s="755">
        <f t="shared" si="3"/>
        <v>0</v>
      </c>
      <c r="O25" s="755">
        <f t="shared" si="3"/>
        <v>0</v>
      </c>
      <c r="P25" s="755">
        <f t="shared" si="3"/>
        <v>0</v>
      </c>
      <c r="Q25" s="755">
        <f t="shared" ref="Q25:R25" si="4">SUM(Q26:Q27)</f>
        <v>0</v>
      </c>
      <c r="R25" s="755">
        <f t="shared" si="4"/>
        <v>0</v>
      </c>
    </row>
    <row r="26" spans="1:18">
      <c r="B26" s="326"/>
      <c r="C26" s="330"/>
      <c r="D26" s="750"/>
      <c r="E26" s="751"/>
      <c r="F26" s="752"/>
      <c r="G26" s="753"/>
      <c r="H26" s="750"/>
      <c r="I26" s="754"/>
      <c r="J26" s="750"/>
      <c r="K26" s="750"/>
      <c r="L26" s="750"/>
      <c r="M26" s="750"/>
      <c r="N26" s="750"/>
      <c r="O26" s="750"/>
      <c r="P26" s="750"/>
      <c r="Q26" s="750"/>
      <c r="R26" s="750"/>
    </row>
    <row r="27" spans="1:18" ht="22.5">
      <c r="B27" s="326" t="s">
        <v>49</v>
      </c>
      <c r="C27" s="331" t="s">
        <v>367</v>
      </c>
      <c r="D27" s="750"/>
      <c r="E27" s="750"/>
      <c r="F27" s="752"/>
      <c r="G27" s="753"/>
      <c r="H27" s="750"/>
      <c r="I27" s="754"/>
      <c r="J27" s="750"/>
      <c r="K27" s="750"/>
      <c r="L27" s="750"/>
      <c r="M27" s="750"/>
      <c r="N27" s="750"/>
      <c r="O27" s="750"/>
      <c r="P27" s="750"/>
      <c r="Q27" s="750"/>
      <c r="R27" s="750"/>
    </row>
    <row r="28" spans="1:18">
      <c r="B28" s="326"/>
      <c r="C28" s="331"/>
      <c r="D28" s="750"/>
      <c r="E28" s="750"/>
      <c r="F28" s="752"/>
      <c r="G28" s="753"/>
      <c r="H28" s="750"/>
      <c r="I28" s="754"/>
      <c r="J28" s="750"/>
      <c r="K28" s="750"/>
      <c r="L28" s="750"/>
      <c r="M28" s="750"/>
      <c r="N28" s="750"/>
      <c r="O28" s="750"/>
      <c r="P28" s="750"/>
      <c r="Q28" s="750"/>
      <c r="R28" s="750"/>
    </row>
    <row r="29" spans="1:18" ht="25.5">
      <c r="B29" s="323">
        <v>3</v>
      </c>
      <c r="C29" s="324" t="s">
        <v>248</v>
      </c>
      <c r="D29" s="746">
        <f>SUM(D30:D38)</f>
        <v>56750000</v>
      </c>
      <c r="E29" s="747"/>
      <c r="F29" s="748">
        <f t="shared" ref="F29:O29" si="5">SUM(F30:F38)</f>
        <v>43900000</v>
      </c>
      <c r="G29" s="749">
        <f t="shared" si="5"/>
        <v>45132194</v>
      </c>
      <c r="H29" s="746">
        <f t="shared" si="5"/>
        <v>41539080</v>
      </c>
      <c r="I29" s="746">
        <f t="shared" si="5"/>
        <v>35639080</v>
      </c>
      <c r="J29" s="746">
        <f t="shared" si="5"/>
        <v>31257865</v>
      </c>
      <c r="K29" s="746">
        <f t="shared" si="5"/>
        <v>26847338</v>
      </c>
      <c r="L29" s="746">
        <f t="shared" si="5"/>
        <v>22385816</v>
      </c>
      <c r="M29" s="746">
        <f t="shared" si="5"/>
        <v>18327476</v>
      </c>
      <c r="N29" s="746">
        <f t="shared" si="5"/>
        <v>14248793</v>
      </c>
      <c r="O29" s="746">
        <f t="shared" si="5"/>
        <v>10170110</v>
      </c>
      <c r="P29" s="746">
        <f>SUM(P30:P38)</f>
        <v>10342634</v>
      </c>
      <c r="Q29" s="746">
        <f>SUM(Q30:Q38)</f>
        <v>4342634</v>
      </c>
      <c r="R29" s="746">
        <f>SUM(R30:R38)</f>
        <v>0</v>
      </c>
    </row>
    <row r="30" spans="1:18">
      <c r="B30" s="326" t="s">
        <v>249</v>
      </c>
      <c r="C30" s="330" t="s">
        <v>250</v>
      </c>
      <c r="D30" s="750">
        <v>12850000</v>
      </c>
      <c r="E30" s="764">
        <v>2006</v>
      </c>
      <c r="F30" s="752">
        <f>'HSZ do złotówek'!AM35</f>
        <v>0</v>
      </c>
      <c r="G30" s="753">
        <f>'HSZ do złotówek'!AP35</f>
        <v>0</v>
      </c>
      <c r="H30" s="750">
        <f>'HSZ do złotówek'!AS35</f>
        <v>0</v>
      </c>
      <c r="I30" s="754">
        <f>'HSZ do złotówek'!AV35</f>
        <v>0</v>
      </c>
      <c r="J30" s="750">
        <f>'HSZ do złotówek'!AY35</f>
        <v>0</v>
      </c>
      <c r="K30" s="750">
        <f>'HSZ do złotówek'!BB35</f>
        <v>0</v>
      </c>
      <c r="L30" s="750">
        <f>'HSZ do złotówek'!BE35</f>
        <v>0</v>
      </c>
      <c r="M30" s="750">
        <f>'HSZ do złotówek'!BH35</f>
        <v>0</v>
      </c>
      <c r="N30" s="750">
        <f>'HSZ do złotówek'!BK35</f>
        <v>0</v>
      </c>
      <c r="O30" s="750">
        <f>'HSZ do złotówek'!BN35</f>
        <v>0</v>
      </c>
      <c r="P30" s="750">
        <f>'HSZ do złotówek'!BQ35</f>
        <v>0</v>
      </c>
      <c r="Q30" s="750">
        <f>'HSZ do złotówek'!BT35</f>
        <v>0</v>
      </c>
      <c r="R30" s="750">
        <f>'HSZ do złotówek'!BW35</f>
        <v>0</v>
      </c>
    </row>
    <row r="31" spans="1:18">
      <c r="B31" s="326" t="s">
        <v>65</v>
      </c>
      <c r="C31" s="330" t="s">
        <v>250</v>
      </c>
      <c r="D31" s="750">
        <v>2000000</v>
      </c>
      <c r="E31" s="764">
        <v>2008</v>
      </c>
      <c r="F31" s="752">
        <f>'HSZ do złotówek'!AM36</f>
        <v>2000000</v>
      </c>
      <c r="G31" s="753">
        <f>'HSZ do złotówek'!AP36</f>
        <v>0</v>
      </c>
      <c r="H31" s="750">
        <f>'HSZ do złotówek'!AS36</f>
        <v>0</v>
      </c>
      <c r="I31" s="754">
        <f>'HSZ do złotówek'!AV36</f>
        <v>0</v>
      </c>
      <c r="J31" s="750">
        <f>'HSZ do złotówek'!AY36</f>
        <v>0</v>
      </c>
      <c r="K31" s="750">
        <f>'HSZ do złotówek'!BB36</f>
        <v>0</v>
      </c>
      <c r="L31" s="750">
        <f>'HSZ do złotówek'!BE36</f>
        <v>0</v>
      </c>
      <c r="M31" s="750">
        <f>'HSZ do złotówek'!BH36</f>
        <v>0</v>
      </c>
      <c r="N31" s="750">
        <f>'HSZ do złotówek'!BK36</f>
        <v>0</v>
      </c>
      <c r="O31" s="750">
        <f>'HSZ do złotówek'!BN36</f>
        <v>0</v>
      </c>
      <c r="P31" s="750">
        <f>'HSZ do złotówek'!BQ36</f>
        <v>0</v>
      </c>
      <c r="Q31" s="750">
        <f>'HSZ do złotówek'!BT36</f>
        <v>0</v>
      </c>
      <c r="R31" s="750">
        <f>'HSZ do złotówek'!BW36</f>
        <v>0</v>
      </c>
    </row>
    <row r="32" spans="1:18">
      <c r="B32" s="326" t="s">
        <v>251</v>
      </c>
      <c r="C32" s="330" t="s">
        <v>252</v>
      </c>
      <c r="D32" s="750">
        <v>8900000</v>
      </c>
      <c r="E32" s="764">
        <v>2009</v>
      </c>
      <c r="F32" s="752">
        <f>'HSZ do złotówek'!AM37</f>
        <v>8900000</v>
      </c>
      <c r="G32" s="753">
        <f>'HSZ do złotówek'!AP37</f>
        <v>5900000</v>
      </c>
      <c r="H32" s="750">
        <f>'HSZ do złotówek'!AS37</f>
        <v>900000</v>
      </c>
      <c r="I32" s="754">
        <f>'HSZ do złotówek'!AV37</f>
        <v>0</v>
      </c>
      <c r="J32" s="750">
        <f>'HSZ do złotówek'!AY37</f>
        <v>0</v>
      </c>
      <c r="K32" s="750">
        <f>'HSZ do złotówek'!BB37</f>
        <v>0</v>
      </c>
      <c r="L32" s="750">
        <f>'HSZ do złotówek'!BE37</f>
        <v>0</v>
      </c>
      <c r="M32" s="750">
        <f>'HSZ do złotówek'!BH37</f>
        <v>0</v>
      </c>
      <c r="N32" s="750">
        <f>'HSZ do złotówek'!BK37</f>
        <v>0</v>
      </c>
      <c r="O32" s="750">
        <f>'HSZ do złotówek'!BN37</f>
        <v>0</v>
      </c>
      <c r="P32" s="750">
        <f>'HSZ do złotówek'!BQ37</f>
        <v>0</v>
      </c>
      <c r="Q32" s="750">
        <f>'HSZ do złotówek'!BT37</f>
        <v>0</v>
      </c>
      <c r="R32" s="750">
        <f>'HSZ do złotówek'!BW37</f>
        <v>0</v>
      </c>
    </row>
    <row r="33" spans="1:18">
      <c r="B33" s="326" t="s">
        <v>253</v>
      </c>
      <c r="C33" s="330" t="s">
        <v>254</v>
      </c>
      <c r="D33" s="750">
        <v>16000000</v>
      </c>
      <c r="E33" s="764">
        <v>2010</v>
      </c>
      <c r="F33" s="752">
        <f>'HSZ do złotówek'!AM38</f>
        <v>16000000</v>
      </c>
      <c r="G33" s="753">
        <f>'HSZ do złotówek'!AP38</f>
        <v>16000000</v>
      </c>
      <c r="H33" s="750">
        <f>'HSZ do złotówek'!AS38</f>
        <v>16000000</v>
      </c>
      <c r="I33" s="754">
        <f>'HSZ do złotówek'!AV38</f>
        <v>11000000</v>
      </c>
      <c r="J33" s="750">
        <f>'HSZ do złotówek'!AY38</f>
        <v>5500000</v>
      </c>
      <c r="K33" s="750">
        <f>'HSZ do złotówek'!BB38</f>
        <v>0</v>
      </c>
      <c r="L33" s="750">
        <f>'HSZ do złotówek'!BE38</f>
        <v>0</v>
      </c>
      <c r="M33" s="750">
        <f>'HSZ do złotówek'!BH38</f>
        <v>0</v>
      </c>
      <c r="N33" s="750">
        <f>'HSZ do złotówek'!BK38</f>
        <v>0</v>
      </c>
      <c r="O33" s="750">
        <f>'HSZ do złotówek'!BN38</f>
        <v>0</v>
      </c>
      <c r="P33" s="750">
        <f>'HSZ do złotówek'!BQ38</f>
        <v>0</v>
      </c>
      <c r="Q33" s="750">
        <f>'HSZ do złotówek'!BT38</f>
        <v>0</v>
      </c>
      <c r="R33" s="750">
        <f>'HSZ do złotówek'!BW38</f>
        <v>0</v>
      </c>
    </row>
    <row r="34" spans="1:18">
      <c r="B34" s="326" t="s">
        <v>255</v>
      </c>
      <c r="C34" s="335" t="s">
        <v>256</v>
      </c>
      <c r="D34" s="750">
        <v>10000000</v>
      </c>
      <c r="E34" s="764">
        <v>2011</v>
      </c>
      <c r="F34" s="752">
        <f>'HSZ do złotówek'!AM39</f>
        <v>10000000</v>
      </c>
      <c r="G34" s="753">
        <f>'HSZ do złotówek'!AP39</f>
        <v>9500000</v>
      </c>
      <c r="H34" s="750">
        <f>'HSZ do złotówek'!AS39</f>
        <v>9000000</v>
      </c>
      <c r="I34" s="754">
        <f>'HSZ do złotówek'!AV39</f>
        <v>9000000</v>
      </c>
      <c r="J34" s="750">
        <f>'HSZ do złotówek'!AY39</f>
        <v>8500000</v>
      </c>
      <c r="K34" s="750">
        <f>'HSZ do złotówek'!BB39</f>
        <v>8000000</v>
      </c>
      <c r="L34" s="750">
        <f>'HSZ do złotówek'!BE39</f>
        <v>4000000</v>
      </c>
      <c r="M34" s="750">
        <f>'HSZ do złotówek'!BH39</f>
        <v>0</v>
      </c>
      <c r="N34" s="750">
        <f>'HSZ do złotówek'!BK39</f>
        <v>0</v>
      </c>
      <c r="O34" s="750">
        <f>'HSZ do złotówek'!BN39</f>
        <v>0</v>
      </c>
      <c r="P34" s="750">
        <f>'HSZ do złotówek'!BQ39</f>
        <v>0</v>
      </c>
      <c r="Q34" s="750">
        <f>'HSZ do złotówek'!BT39</f>
        <v>0</v>
      </c>
      <c r="R34" s="750">
        <f>'HSZ do złotówek'!BW39</f>
        <v>0</v>
      </c>
    </row>
    <row r="35" spans="1:18">
      <c r="B35" s="326"/>
      <c r="C35" s="335"/>
      <c r="D35" s="750"/>
      <c r="E35" s="751"/>
      <c r="F35" s="752"/>
      <c r="G35" s="753"/>
      <c r="H35" s="750"/>
      <c r="I35" s="754"/>
      <c r="J35" s="750"/>
      <c r="K35" s="750"/>
      <c r="L35" s="750"/>
      <c r="M35" s="750"/>
      <c r="N35" s="750"/>
      <c r="O35" s="750"/>
      <c r="P35" s="750"/>
      <c r="Q35" s="750"/>
      <c r="R35" s="750"/>
    </row>
    <row r="36" spans="1:18">
      <c r="B36" s="336"/>
      <c r="C36" s="337" t="s">
        <v>257</v>
      </c>
      <c r="D36" s="758">
        <v>7000000</v>
      </c>
      <c r="E36" s="759"/>
      <c r="F36" s="760">
        <f>'HSZ do złotówek'!AM43</f>
        <v>7000000</v>
      </c>
      <c r="G36" s="761">
        <f>'HSZ do złotówek'!AP43</f>
        <v>7000000</v>
      </c>
      <c r="H36" s="758">
        <f>'HSZ do złotówek'!AS43</f>
        <v>7000000</v>
      </c>
      <c r="I36" s="762">
        <f>'HSZ do złotówek'!AV43</f>
        <v>7000000</v>
      </c>
      <c r="J36" s="758">
        <f>'HSZ do złotówek'!AY43</f>
        <v>7000000</v>
      </c>
      <c r="K36" s="758">
        <f>'HSZ do złotówek'!BB43</f>
        <v>7000000</v>
      </c>
      <c r="L36" s="758">
        <f>'HSZ do złotówek'!BE43</f>
        <v>5000000</v>
      </c>
      <c r="M36" s="758">
        <f>'HSZ do złotówek'!BH43</f>
        <v>3000000</v>
      </c>
      <c r="N36" s="758">
        <f>'HSZ do złotówek'!BK43</f>
        <v>0</v>
      </c>
      <c r="O36" s="758">
        <f>'HSZ do złotówek'!BN43</f>
        <v>0</v>
      </c>
      <c r="P36" s="758">
        <f>'HSZ do złotówek'!BQ43</f>
        <v>0</v>
      </c>
      <c r="Q36" s="758">
        <f>'HSZ do złotówek'!BT41</f>
        <v>0</v>
      </c>
      <c r="R36" s="758">
        <f>'HSZ do złotówek'!BW41</f>
        <v>0</v>
      </c>
    </row>
    <row r="37" spans="1:18">
      <c r="B37" s="326"/>
      <c r="C37" s="331"/>
      <c r="D37" s="750"/>
      <c r="E37" s="751"/>
      <c r="F37" s="752"/>
      <c r="G37" s="753"/>
      <c r="H37" s="750"/>
      <c r="I37" s="754"/>
      <c r="J37" s="750"/>
      <c r="K37" s="750"/>
      <c r="L37" s="750"/>
      <c r="M37" s="750"/>
      <c r="N37" s="750"/>
      <c r="O37" s="750"/>
      <c r="P37" s="750"/>
      <c r="Q37" s="750"/>
      <c r="R37" s="750"/>
    </row>
    <row r="38" spans="1:18">
      <c r="B38" s="326"/>
      <c r="C38" s="331" t="s">
        <v>258</v>
      </c>
      <c r="D38" s="750"/>
      <c r="E38" s="751"/>
      <c r="F38" s="752"/>
      <c r="G38" s="753">
        <f>'HSZ do złotówek'!AP45</f>
        <v>6732194</v>
      </c>
      <c r="H38" s="750">
        <f>'HSZ do złotówek'!AS45+'HSZ do złotówek'!AS46</f>
        <v>8639080</v>
      </c>
      <c r="I38" s="754">
        <f>'HSZ do złotówek'!AV45+'HSZ do złotówek'!AV46+'HSZ do złotówek'!AV47</f>
        <v>8639080</v>
      </c>
      <c r="J38" s="750">
        <f>'HSZ do złotówek'!AY45+'HSZ do złotówek'!AY46+'HSZ do złotówek'!AY47+'HSZ do złotówek'!AY48</f>
        <v>10257865</v>
      </c>
      <c r="K38" s="750">
        <f>'HSZ do złotówek'!BB45+'HSZ do złotówek'!BB46+'HSZ do złotówek'!BB47+'HSZ do złotówek'!BB48+'HSZ do złotówek'!BB49</f>
        <v>11847338</v>
      </c>
      <c r="L38" s="750">
        <f>SUM('HSZ do złotówek'!BE45:BE50)</f>
        <v>13385816</v>
      </c>
      <c r="M38" s="750">
        <f>SUM('HSZ do złotówek'!BH45:BH51)</f>
        <v>15327476</v>
      </c>
      <c r="N38" s="750">
        <f>SUM('HSZ do złotówek'!BK45:BK52)</f>
        <v>14248793</v>
      </c>
      <c r="O38" s="750">
        <f>SUM('HSZ do złotówek'!BN45:BN53)</f>
        <v>10170110</v>
      </c>
      <c r="P38" s="750">
        <f>SUM('HSZ do złotówek'!BQ45:BQ56)</f>
        <v>10342634</v>
      </c>
      <c r="Q38" s="750">
        <f>SUM('HSZ do złotówek'!BT45:BT56)</f>
        <v>4342634</v>
      </c>
      <c r="R38" s="750">
        <f>SUM('HSZ do złotówek'!BW45:BW56)</f>
        <v>0</v>
      </c>
    </row>
    <row r="39" spans="1:18">
      <c r="A39" s="332"/>
      <c r="B39" s="333" t="s">
        <v>259</v>
      </c>
      <c r="C39" s="334" t="s">
        <v>260</v>
      </c>
      <c r="D39" s="755"/>
      <c r="E39" s="755"/>
      <c r="F39" s="756">
        <f t="shared" ref="F39:P39" si="6">F29+F25+F8</f>
        <v>46110961</v>
      </c>
      <c r="G39" s="757">
        <f>G29+G25+G8</f>
        <v>48967610</v>
      </c>
      <c r="H39" s="755">
        <f t="shared" si="6"/>
        <v>47924528</v>
      </c>
      <c r="I39" s="755">
        <f t="shared" si="6"/>
        <v>41557958</v>
      </c>
      <c r="J39" s="755">
        <f t="shared" si="6"/>
        <v>36358194</v>
      </c>
      <c r="K39" s="755">
        <f t="shared" si="6"/>
        <v>31158430</v>
      </c>
      <c r="L39" s="755">
        <f t="shared" si="6"/>
        <v>25958666</v>
      </c>
      <c r="M39" s="755">
        <f t="shared" si="6"/>
        <v>21258902</v>
      </c>
      <c r="N39" s="755">
        <f t="shared" si="6"/>
        <v>16559138</v>
      </c>
      <c r="O39" s="755">
        <f t="shared" si="6"/>
        <v>11859374</v>
      </c>
      <c r="P39" s="755">
        <f t="shared" si="6"/>
        <v>11410817</v>
      </c>
      <c r="Q39" s="755">
        <f t="shared" ref="Q39:R39" si="7">Q29+Q25+Q8</f>
        <v>4789736</v>
      </c>
      <c r="R39" s="755">
        <f t="shared" si="7"/>
        <v>54553</v>
      </c>
    </row>
    <row r="40" spans="1:18">
      <c r="B40" s="323">
        <v>5</v>
      </c>
      <c r="C40" s="338" t="s">
        <v>261</v>
      </c>
      <c r="D40" s="763"/>
      <c r="E40" s="763"/>
      <c r="F40" s="748">
        <f>WPF!G7</f>
        <v>164025871</v>
      </c>
      <c r="G40" s="749">
        <f>WPF!H7</f>
        <v>194037655</v>
      </c>
      <c r="H40" s="746">
        <f>WPF!I7</f>
        <v>188169366</v>
      </c>
      <c r="I40" s="746">
        <f>WPF!J7</f>
        <v>164689399</v>
      </c>
      <c r="J40" s="746">
        <f>WPF!K7</f>
        <v>171800000</v>
      </c>
      <c r="K40" s="746">
        <f>WPF!L7</f>
        <v>176700000</v>
      </c>
      <c r="L40" s="746">
        <f>WPF!M7</f>
        <v>178200000</v>
      </c>
      <c r="M40" s="746">
        <f>WPF!N7</f>
        <v>180700000</v>
      </c>
      <c r="N40" s="746">
        <f>WPF!O7</f>
        <v>184300000</v>
      </c>
      <c r="O40" s="746">
        <f>WPF!P7</f>
        <v>187900000</v>
      </c>
      <c r="P40" s="746">
        <f>WPF!Q7</f>
        <v>190600000</v>
      </c>
      <c r="Q40" s="746">
        <f>WPF!R7</f>
        <v>195200000</v>
      </c>
      <c r="R40" s="746">
        <f>WPF!S7</f>
        <v>199900000</v>
      </c>
    </row>
    <row r="41" spans="1:18" ht="51">
      <c r="B41" s="323">
        <v>6</v>
      </c>
      <c r="C41" s="324" t="s">
        <v>262</v>
      </c>
      <c r="D41" s="339"/>
      <c r="E41" s="339"/>
      <c r="F41" s="340">
        <f t="shared" ref="F41:P41" si="8">ROUND((F39/F40*100),2)</f>
        <v>28.11</v>
      </c>
      <c r="G41" s="341">
        <f t="shared" si="8"/>
        <v>25.24</v>
      </c>
      <c r="H41" s="342">
        <f t="shared" si="8"/>
        <v>25.47</v>
      </c>
      <c r="I41" s="342">
        <f t="shared" si="8"/>
        <v>25.23</v>
      </c>
      <c r="J41" s="342">
        <f t="shared" si="8"/>
        <v>21.16</v>
      </c>
      <c r="K41" s="342">
        <f t="shared" si="8"/>
        <v>17.63</v>
      </c>
      <c r="L41" s="342">
        <f t="shared" si="8"/>
        <v>14.57</v>
      </c>
      <c r="M41" s="342">
        <f t="shared" si="8"/>
        <v>11.76</v>
      </c>
      <c r="N41" s="342">
        <f t="shared" si="8"/>
        <v>8.98</v>
      </c>
      <c r="O41" s="342">
        <f t="shared" si="8"/>
        <v>6.31</v>
      </c>
      <c r="P41" s="342">
        <f t="shared" si="8"/>
        <v>5.99</v>
      </c>
      <c r="Q41" s="342">
        <f t="shared" ref="Q41:R41" si="9">ROUND((Q39/Q40*100),2)</f>
        <v>2.4500000000000002</v>
      </c>
      <c r="R41" s="342">
        <f t="shared" si="9"/>
        <v>0.03</v>
      </c>
    </row>
    <row r="42" spans="1:18">
      <c r="A42" s="343"/>
      <c r="B42" s="344"/>
      <c r="C42" s="345"/>
      <c r="D42" s="346"/>
      <c r="E42" s="346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77.25" thickBot="1">
      <c r="B43" s="348">
        <v>7</v>
      </c>
      <c r="C43" s="349" t="s">
        <v>263</v>
      </c>
      <c r="D43" s="350"/>
      <c r="E43" s="350"/>
      <c r="F43" s="351"/>
      <c r="G43" s="352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</row>
    <row r="44" spans="1:18" ht="13.5" thickTop="1">
      <c r="A44" s="343"/>
      <c r="B44" s="354"/>
      <c r="C44" s="355"/>
      <c r="D44" s="356"/>
      <c r="E44" s="356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43"/>
    </row>
    <row r="45" spans="1:18" hidden="1"/>
    <row r="46" spans="1:18" hidden="1"/>
    <row r="47" spans="1:18" hidden="1"/>
    <row r="48" spans="1:1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t="12" hidden="1" customHeight="1"/>
  </sheetData>
  <sheetProtection sheet="1" objects="1" scenarios="1"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7"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79" zoomScaleNormal="100" workbookViewId="0">
      <selection activeCell="P171" sqref="P171:S171"/>
    </sheetView>
  </sheetViews>
  <sheetFormatPr defaultRowHeight="12.75"/>
  <cols>
    <col min="1" max="16" width="1.85546875" style="733" customWidth="1"/>
    <col min="17" max="17" width="5.28515625" style="733" customWidth="1"/>
    <col min="18" max="18" width="6.5703125" style="733" customWidth="1"/>
    <col min="19" max="19" width="12.140625" style="733" customWidth="1"/>
    <col min="20" max="20" width="2.7109375" style="733" customWidth="1"/>
    <col min="21" max="21" width="13.5703125" style="733" customWidth="1"/>
    <col min="22" max="22" width="9.85546875" style="733" customWidth="1"/>
    <col min="23" max="23" width="6.85546875" style="733" customWidth="1"/>
    <col min="24" max="24" width="9.140625" style="733"/>
    <col min="25" max="25" width="21.5703125" style="733" customWidth="1"/>
    <col min="26" max="16384" width="9.140625" style="733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v>4.99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3.99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14800.216709090912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14800.22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14800.22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14800.22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14800.22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14800.22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14800.22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14800.22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14800.22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14800.22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groszy'!K55</f>
        <v>0</v>
      </c>
      <c r="Q14" s="1580"/>
      <c r="R14" s="1580"/>
      <c r="S14" s="1580"/>
      <c r="T14" s="1581">
        <f>ROUND(IPMT(($AA$3%+0.35%)/11,1,$D$171-$D$4+1,$P$172-(SUM($P$4:P13)))*-1,2)</f>
        <v>14800.22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14800.22</v>
      </c>
      <c r="U15" s="1560"/>
      <c r="V15" s="1560"/>
      <c r="W15" s="1560"/>
      <c r="Y15" s="740">
        <f>SUM(T4:W15)</f>
        <v>177602.6367090909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14800.22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14800.22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14800.22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14800.22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14800.22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14800.22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14800.22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14800.22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14800.22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14800.22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groszy'!M55</f>
        <v>0</v>
      </c>
      <c r="Q26" s="1580"/>
      <c r="R26" s="1580"/>
      <c r="S26" s="1580"/>
      <c r="T26" s="1581">
        <f>ROUND(IPMT(($AA$3%+0.35%)/11,1,$D$171-$D$16+1,$P$172-(SUM($P$4:P25)))*-1,2)</f>
        <v>14800.22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14800.22</v>
      </c>
      <c r="U27" s="1560"/>
      <c r="V27" s="1560"/>
      <c r="W27" s="1560"/>
      <c r="Y27" s="740">
        <f>SUM(T16:W27)</f>
        <v>177602.63999999998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14800.22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14800.22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14800.22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14800.22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14800.22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14800.22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14800.22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14800.22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14800.22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14800.22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f>'HSZ do groszy'!O55</f>
        <v>0</v>
      </c>
      <c r="Q38" s="1580"/>
      <c r="R38" s="1580"/>
      <c r="S38" s="1580"/>
      <c r="T38" s="1581">
        <f>ROUND(IPMT(($AA$3%+0.35%)/11,1,$D$171-$D$28+1,$P$172-(SUM($P$4:P37)))*-1,2)</f>
        <v>14800.22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14800.22</v>
      </c>
      <c r="U39" s="1560"/>
      <c r="V39" s="1560"/>
      <c r="W39" s="1560"/>
      <c r="Y39" s="740">
        <f>SUM(T28:W39)</f>
        <v>177602.63999999998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14800.22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14800.22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14800.22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14800.22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14800.22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14800.22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14800.22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14800.22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14800.22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14800.22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f>'HSZ do groszy'!Q55</f>
        <v>0</v>
      </c>
      <c r="Q50" s="1580"/>
      <c r="R50" s="1580"/>
      <c r="S50" s="1580"/>
      <c r="T50" s="1581">
        <f>ROUND(IPMT(($AA$3%+0.35%)/11,1,$D$171-$D$40+1,$P$172-(SUM($P$4:P49)))*-1,2)</f>
        <v>14800.22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14800.22</v>
      </c>
      <c r="U51" s="1560"/>
      <c r="V51" s="1560"/>
      <c r="W51" s="1560"/>
      <c r="Y51" s="740">
        <f>SUM(T40:W51)</f>
        <v>177602.63999999998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14800.22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14800.22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14800.22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14800.22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14800.22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14800.22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14800.22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14800.22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14800.22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14800.22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f>'HSZ do groszy'!S55</f>
        <v>0</v>
      </c>
      <c r="Q62" s="1580"/>
      <c r="R62" s="1580"/>
      <c r="S62" s="1580"/>
      <c r="T62" s="1581">
        <f>ROUND(IPMT(($AA$3%+0.35%)/11,1,$D$171-$D$52+1,$P$172-(SUM($P$4:P61)))*-1,2)</f>
        <v>14800.22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14800.22</v>
      </c>
      <c r="U63" s="1560"/>
      <c r="V63" s="1560"/>
      <c r="W63" s="1560"/>
      <c r="Y63" s="740">
        <f>SUM(T52:W63)</f>
        <v>177602.63999999998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14800.22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14800.22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14800.22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14800.22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14800.22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14800.22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14800.22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14800.22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14800.22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14800.22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f>'HSZ do groszy'!U55</f>
        <v>0</v>
      </c>
      <c r="Q74" s="1580"/>
      <c r="R74" s="1580"/>
      <c r="S74" s="1580"/>
      <c r="T74" s="1581">
        <f>ROUND(IPMT(($AA$3%+0.35%)/11,1,$D$171-$D$64+1,$P$172-(SUM($P$4:P73)))*-1,2)</f>
        <v>14800.22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14800.22</v>
      </c>
      <c r="U75" s="1560"/>
      <c r="V75" s="1560"/>
      <c r="W75" s="1560"/>
      <c r="Y75" s="740">
        <f>SUM(T64:W75)</f>
        <v>177602.63999999998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14800.22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14800.22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14800.22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14800.22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14800.22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14800.22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14800.22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14800.22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14800.22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14800.22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f>'HSZ do groszy'!W55</f>
        <v>0</v>
      </c>
      <c r="Q86" s="1580"/>
      <c r="R86" s="1580"/>
      <c r="S86" s="1580"/>
      <c r="T86" s="1581">
        <f>ROUND(IPMT(($AA$3%+0.35%)/11,1,$D$171-$D$76+1,$P$172-(SUM($P$4:P85)))*-1,2)</f>
        <v>14800.22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14800.22</v>
      </c>
      <c r="U87" s="1560"/>
      <c r="V87" s="1560"/>
      <c r="W87" s="1560"/>
      <c r="Y87" s="740">
        <f>SUM(T76:W87)</f>
        <v>177602.63999999998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14800.22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14800.22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14800.22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14800.22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14800.22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14800.22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14800.22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14800.22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14800.22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14800.22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f>'HSZ do groszy'!Y55</f>
        <v>0</v>
      </c>
      <c r="Q98" s="1580"/>
      <c r="R98" s="1580"/>
      <c r="S98" s="1580"/>
      <c r="T98" s="1581">
        <f>ROUND(IPMT(($AA$3%+0.35%)/11,1,$D$171-$D$88+1,$P$172-(SUM($P$4:P97)))*-1,2)</f>
        <v>14800.22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14800.22</v>
      </c>
      <c r="U99" s="1560"/>
      <c r="V99" s="1560"/>
      <c r="W99" s="1560"/>
      <c r="Y99" s="740">
        <f>SUM(T88:W99)</f>
        <v>177602.63999999998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14800.22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14800.22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14800.22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14800.22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14800.22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14800.22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14800.22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14800.22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14800.22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14800.22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f>'HSZ do groszy'!AA55</f>
        <v>0</v>
      </c>
      <c r="Q110" s="1580"/>
      <c r="R110" s="1580"/>
      <c r="S110" s="1580"/>
      <c r="T110" s="1581">
        <f>ROUND(IPMT(($AA$3%+0.35%)/11,1,$D$171-$D$160+1,$P$172-(SUM($P$4:P109)))*-1,2)</f>
        <v>14800.22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14800.22</v>
      </c>
      <c r="U111" s="1575"/>
      <c r="V111" s="1575"/>
      <c r="W111" s="1575"/>
      <c r="Y111" s="740">
        <f>SUM(T100:W111)</f>
        <v>177602.63999999998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14800.22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14800.22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14800.22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14800.22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14800.22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14800.22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14800.22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14800.22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14800.22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14800.22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f>'HSZ do groszy'!AC55</f>
        <v>0</v>
      </c>
      <c r="Q122" s="1580"/>
      <c r="R122" s="1580"/>
      <c r="S122" s="1580"/>
      <c r="T122" s="1581">
        <f>ROUND(IPMT(($AA$3%+0.35%)/11,1,$D$171-$D$160+1,$P$172-(SUM($P$4:P121)))*-1,2)</f>
        <v>14800.22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14800.22</v>
      </c>
      <c r="U123" s="1575"/>
      <c r="V123" s="1575"/>
      <c r="W123" s="1575"/>
      <c r="Y123" s="740">
        <f>SUM(T112:W123)</f>
        <v>177602.63999999998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14800.22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14800.22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14800.22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14800.22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14800.22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14800.22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14800.22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14800.22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14800.22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14800.22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groszy'!AE55</f>
        <v>3751207</v>
      </c>
      <c r="Q134" s="1580"/>
      <c r="R134" s="1580"/>
      <c r="S134" s="1580"/>
      <c r="T134" s="1581">
        <f>ROUND(IPMT(($AA$3%+0.35%)/11,1,$D$171-$D$160+1,$P$172-(SUM($P$4:P133)))*-1,2)</f>
        <v>14800.22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162802.41999999998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groszy'!AG55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f>'HSZ do groszy'!AI55</f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f>'HSZ do groszy'!AJ55</f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3751207</v>
      </c>
      <c r="Q172" s="1565"/>
      <c r="R172" s="1565"/>
      <c r="S172" s="1566"/>
      <c r="T172" s="1567">
        <f>SUM(T4:T171)</f>
        <v>1938828.8167090879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4" zoomScaleNormal="100" workbookViewId="0">
      <selection activeCell="AA3" sqref="AA3"/>
    </sheetView>
  </sheetViews>
  <sheetFormatPr defaultRowHeight="12.75"/>
  <cols>
    <col min="1" max="16" width="1.85546875" style="882" customWidth="1"/>
    <col min="17" max="17" width="5.28515625" style="882" customWidth="1"/>
    <col min="18" max="18" width="6.5703125" style="882" customWidth="1"/>
    <col min="19" max="19" width="12.140625" style="882" customWidth="1"/>
    <col min="20" max="20" width="2.7109375" style="882" customWidth="1"/>
    <col min="21" max="21" width="13.5703125" style="882" customWidth="1"/>
    <col min="22" max="22" width="9.85546875" style="882" customWidth="1"/>
    <col min="23" max="23" width="6.85546875" style="882" customWidth="1"/>
    <col min="24" max="24" width="9.140625" style="882"/>
    <col min="25" max="25" width="21.5703125" style="882" customWidth="1"/>
    <col min="26" max="16384" width="9.140625" style="882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f>4.75+3</f>
        <v>7.75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6.75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14750.676000000005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14750.68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14750.68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14750.68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14750.68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14750.68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14750.68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14750.68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14750.68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14750.68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v>228531.6</v>
      </c>
      <c r="Q14" s="1580"/>
      <c r="R14" s="1580"/>
      <c r="S14" s="1580"/>
      <c r="T14" s="1581">
        <f>ROUND(IPMT(($AA$3%+0.35%)/11,1,$D$171-$D$4+1,$P$172-(SUM($P$4:P13)))*-1,2)</f>
        <v>14750.68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13275.61</v>
      </c>
      <c r="U15" s="1560"/>
      <c r="V15" s="1560"/>
      <c r="W15" s="1560"/>
      <c r="Y15" s="740">
        <f>SUM(T4:W15)</f>
        <v>175533.08599999995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13275.61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13275.61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13275.61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13275.61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13275.61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13275.61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13275.61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13275.61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13275.61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13275.61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v>228531.6</v>
      </c>
      <c r="Q26" s="1580"/>
      <c r="R26" s="1580"/>
      <c r="S26" s="1580"/>
      <c r="T26" s="1581">
        <f>ROUND(IPMT(($AA$3%+0.35%)/11,1,$D$171-$D$16+1,$P$172-(SUM($P$4:P25)))*-1,2)</f>
        <v>13275.61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11800.54</v>
      </c>
      <c r="U27" s="1560"/>
      <c r="V27" s="1560"/>
      <c r="W27" s="1560"/>
      <c r="Y27" s="740">
        <f>SUM(T16:W27)</f>
        <v>157832.25000000003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11800.54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11800.54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11800.54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11800.54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11800.54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11800.54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11800.54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11800.54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11800.54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11800.54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v>228531.6</v>
      </c>
      <c r="Q38" s="1580"/>
      <c r="R38" s="1580"/>
      <c r="S38" s="1580"/>
      <c r="T38" s="1581">
        <f>ROUND(IPMT(($AA$3%+0.35%)/11,1,$D$171-$D$28+1,$P$172-(SUM($P$4:P37)))*-1,2)</f>
        <v>11800.54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10325.469999999999</v>
      </c>
      <c r="U39" s="1560"/>
      <c r="V39" s="1560"/>
      <c r="W39" s="1560"/>
      <c r="Y39" s="740">
        <f>SUM(T28:W39)</f>
        <v>140131.41000000003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10325.469999999999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10325.469999999999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10325.469999999999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10325.469999999999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10325.469999999999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10325.469999999999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10325.469999999999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10325.469999999999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10325.469999999999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10325.469999999999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v>228531.6</v>
      </c>
      <c r="Q50" s="1580"/>
      <c r="R50" s="1580"/>
      <c r="S50" s="1580"/>
      <c r="T50" s="1581">
        <f>ROUND(IPMT(($AA$3%+0.35%)/11,1,$D$171-$D$40+1,$P$172-(SUM($P$4:P49)))*-1,2)</f>
        <v>10325.469999999999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8850.41</v>
      </c>
      <c r="U51" s="1560"/>
      <c r="V51" s="1560"/>
      <c r="W51" s="1560"/>
      <c r="Y51" s="740">
        <f>SUM(T40:W51)</f>
        <v>122430.58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8850.41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8850.41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8850.41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8850.41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8850.41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8850.41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8850.41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8850.41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8850.41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8850.41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v>228531.6</v>
      </c>
      <c r="Q62" s="1580"/>
      <c r="R62" s="1580"/>
      <c r="S62" s="1580"/>
      <c r="T62" s="1581">
        <f>ROUND(IPMT(($AA$3%+0.35%)/11,1,$D$171-$D$52+1,$P$172-(SUM($P$4:P61)))*-1,2)</f>
        <v>8850.41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7375.34</v>
      </c>
      <c r="U63" s="1560"/>
      <c r="V63" s="1560"/>
      <c r="W63" s="1560"/>
      <c r="Y63" s="740">
        <f>SUM(T52:W63)</f>
        <v>104729.85000000002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7375.34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7375.34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7375.34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7375.34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7375.34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7375.34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7375.34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7375.34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7375.34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7375.34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v>228531.6</v>
      </c>
      <c r="Q74" s="1580"/>
      <c r="R74" s="1580"/>
      <c r="S74" s="1580"/>
      <c r="T74" s="1581">
        <f>ROUND(IPMT(($AA$3%+0.35%)/11,1,$D$171-$D$64+1,$P$172-(SUM($P$4:P73)))*-1,2)</f>
        <v>7375.34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5900.27</v>
      </c>
      <c r="U75" s="1560"/>
      <c r="V75" s="1560"/>
      <c r="W75" s="1560"/>
      <c r="Y75" s="740">
        <f>SUM(T64:W75)</f>
        <v>87029.00999999998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5900.27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5900.27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5900.27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5900.27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5900.27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5900.27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5900.27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5900.27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5900.27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5900.27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v>228531.6</v>
      </c>
      <c r="Q86" s="1580"/>
      <c r="R86" s="1580"/>
      <c r="S86" s="1580"/>
      <c r="T86" s="1581">
        <f>ROUND(IPMT(($AA$3%+0.35%)/11,1,$D$171-$D$76+1,$P$172-(SUM($P$4:P85)))*-1,2)</f>
        <v>5900.27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4425.2</v>
      </c>
      <c r="U87" s="1560"/>
      <c r="V87" s="1560"/>
      <c r="W87" s="1560"/>
      <c r="Y87" s="740">
        <f>SUM(T76:W87)</f>
        <v>69328.170000000013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4425.2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4425.2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4425.2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4425.2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4425.2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4425.2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4425.2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4425.2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4425.2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4425.2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v>228531.6</v>
      </c>
      <c r="Q98" s="1580"/>
      <c r="R98" s="1580"/>
      <c r="S98" s="1580"/>
      <c r="T98" s="1581">
        <f>ROUND(IPMT(($AA$3%+0.35%)/11,1,$D$171-$D$88+1,$P$172-(SUM($P$4:P97)))*-1,2)</f>
        <v>4425.2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2950.14</v>
      </c>
      <c r="U99" s="1560"/>
      <c r="V99" s="1560"/>
      <c r="W99" s="1560"/>
      <c r="Y99" s="740">
        <f>SUM(T88:W99)</f>
        <v>51627.339999999989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2950.14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2950.14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2950.14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2950.14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2950.14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2950.14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2950.14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2950.14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2950.14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2950.14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v>228531.6</v>
      </c>
      <c r="Q110" s="1580"/>
      <c r="R110" s="1580"/>
      <c r="S110" s="1580"/>
      <c r="T110" s="1581">
        <f>ROUND(IPMT(($AA$3%+0.35%)/11,1,$D$171-$D$160+1,$P$172-(SUM($P$4:P109)))*-1,2)</f>
        <v>2950.14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1475.07</v>
      </c>
      <c r="U111" s="1575"/>
      <c r="V111" s="1575"/>
      <c r="W111" s="1575"/>
      <c r="Y111" s="740">
        <f>SUM(T100:W111)</f>
        <v>33926.61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1475.07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1475.07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1475.07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1475.07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1475.07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1475.07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1475.07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1475.07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1475.07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1475.07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v>228531.6</v>
      </c>
      <c r="Q122" s="1580"/>
      <c r="R122" s="1580"/>
      <c r="S122" s="1580"/>
      <c r="T122" s="1581">
        <f>ROUND(IPMT(($AA$3%+0.35%)/11,1,$D$171-$D$160+1,$P$172-(SUM($P$4:P121)))*-1,2)</f>
        <v>1475.07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0</v>
      </c>
      <c r="U123" s="1575"/>
      <c r="V123" s="1575"/>
      <c r="W123" s="1575"/>
      <c r="Y123" s="740">
        <f>SUM(T112:W123)</f>
        <v>16225.769999999999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0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0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0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0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0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0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0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0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0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0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f>'HSZ do groszy'!AE27</f>
        <v>0</v>
      </c>
      <c r="Q134" s="1580"/>
      <c r="R134" s="1580"/>
      <c r="S134" s="1580"/>
      <c r="T134" s="1581">
        <f>ROUND(IPMT(($AA$3%+0.35%)/11,1,$D$171-$D$160+1,$P$172-(SUM($P$4:P133)))*-1,2)</f>
        <v>0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0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groszy'!AG27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2285316.0000000005</v>
      </c>
      <c r="Q172" s="1565"/>
      <c r="R172" s="1565"/>
      <c r="S172" s="1566"/>
      <c r="T172" s="1567">
        <f>SUM(T4:T171)</f>
        <v>958794.07599999849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43" zoomScaleNormal="100" workbookViewId="0">
      <selection activeCell="T143" sqref="T143:W143"/>
    </sheetView>
  </sheetViews>
  <sheetFormatPr defaultRowHeight="12.75"/>
  <cols>
    <col min="1" max="16" width="1.85546875" style="882" customWidth="1"/>
    <col min="17" max="17" width="5.28515625" style="882" customWidth="1"/>
    <col min="18" max="18" width="6.5703125" style="882" customWidth="1"/>
    <col min="19" max="19" width="12.140625" style="882" customWidth="1"/>
    <col min="20" max="20" width="2.7109375" style="882" customWidth="1"/>
    <col min="21" max="21" width="13.5703125" style="882" customWidth="1"/>
    <col min="22" max="22" width="9.85546875" style="882" customWidth="1"/>
    <col min="23" max="23" width="6.85546875" style="882" customWidth="1"/>
    <col min="24" max="24" width="9.140625" style="882"/>
    <col min="25" max="25" width="21.5703125" style="882" customWidth="1"/>
    <col min="26" max="16384" width="9.140625" style="882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f>4.75+3</f>
        <v>7.75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6.75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21816.084993636367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21816.080000000002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21816.080000000002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21816.080000000002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21816.080000000002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21816.080000000002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21816.080000000002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21816.080000000002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21816.080000000002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21816.080000000002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groszy'!K28</f>
        <v>0</v>
      </c>
      <c r="Q14" s="1580"/>
      <c r="R14" s="1580"/>
      <c r="S14" s="1580"/>
      <c r="T14" s="1581">
        <f>ROUND(IPMT(($AA$3%+0.35%)/11,1,$D$171-$D$4+1,$P$172-(SUM($P$4:P13)))*-1,2)</f>
        <v>21816.080000000002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21816.080000000002</v>
      </c>
      <c r="U15" s="1560"/>
      <c r="V15" s="1560"/>
      <c r="W15" s="1560"/>
      <c r="Y15" s="740">
        <f>SUM(T4:W15)</f>
        <v>261792.96499363647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21816.080000000002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21816.080000000002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21816.080000000002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21816.080000000002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21816.080000000002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21816.080000000002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21816.080000000002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21816.080000000002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21816.080000000002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21816.080000000002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v>337995.68</v>
      </c>
      <c r="Q26" s="1580"/>
      <c r="R26" s="1580"/>
      <c r="S26" s="1580"/>
      <c r="T26" s="1581">
        <f>ROUND(IPMT(($AA$3%+0.35%)/11,1,$D$171-$D$16+1,$P$172-(SUM($P$4:P25)))*-1,2)</f>
        <v>21816.080000000002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19634.48</v>
      </c>
      <c r="U27" s="1560"/>
      <c r="V27" s="1560"/>
      <c r="W27" s="1560"/>
      <c r="Y27" s="740">
        <f>SUM(T16:W27)</f>
        <v>259611.36000000007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19634.48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19634.48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19634.48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19634.48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19634.48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19634.48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19634.48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19634.48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19634.48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19634.48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v>337995.68</v>
      </c>
      <c r="Q38" s="1580"/>
      <c r="R38" s="1580"/>
      <c r="S38" s="1580"/>
      <c r="T38" s="1581">
        <f>ROUND(IPMT(($AA$3%+0.35%)/11,1,$D$171-$D$28+1,$P$172-(SUM($P$4:P37)))*-1,2)</f>
        <v>19634.48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17452.87</v>
      </c>
      <c r="U39" s="1560"/>
      <c r="V39" s="1560"/>
      <c r="W39" s="1560"/>
      <c r="Y39" s="740">
        <f>SUM(T28:W39)</f>
        <v>233432.15000000002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17452.87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17452.87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17452.87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17452.87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17452.87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17452.87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17452.87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17452.87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17452.87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17452.87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v>337995.68</v>
      </c>
      <c r="Q50" s="1580"/>
      <c r="R50" s="1580"/>
      <c r="S50" s="1580"/>
      <c r="T50" s="1581">
        <f>ROUND(IPMT(($AA$3%+0.35%)/11,1,$D$171-$D$40+1,$P$172-(SUM($P$4:P49)))*-1,2)</f>
        <v>17452.87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15271.26</v>
      </c>
      <c r="U51" s="1560"/>
      <c r="V51" s="1560"/>
      <c r="W51" s="1560"/>
      <c r="Y51" s="740">
        <f>SUM(T40:W51)</f>
        <v>207252.83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15271.26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15271.26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15271.26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15271.26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15271.26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15271.26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15271.26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15271.26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15271.26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15271.26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v>337995.68</v>
      </c>
      <c r="Q62" s="1580"/>
      <c r="R62" s="1580"/>
      <c r="S62" s="1580"/>
      <c r="T62" s="1581">
        <f>ROUND(IPMT(($AA$3%+0.35%)/11,1,$D$171-$D$52+1,$P$172-(SUM($P$4:P61)))*-1,2)</f>
        <v>15271.26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13089.65</v>
      </c>
      <c r="U63" s="1560"/>
      <c r="V63" s="1560"/>
      <c r="W63" s="1560"/>
      <c r="Y63" s="740">
        <f>SUM(T52:W63)</f>
        <v>181073.51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13089.65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13089.65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13089.65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13089.65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13089.65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13089.65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13089.65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13089.65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13089.65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13089.65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v>337995.68</v>
      </c>
      <c r="Q74" s="1580"/>
      <c r="R74" s="1580"/>
      <c r="S74" s="1580"/>
      <c r="T74" s="1581">
        <f>ROUND(IPMT(($AA$3%+0.35%)/11,1,$D$171-$D$64+1,$P$172-(SUM($P$4:P73)))*-1,2)</f>
        <v>13089.65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10908.04</v>
      </c>
      <c r="U75" s="1560"/>
      <c r="V75" s="1560"/>
      <c r="W75" s="1560"/>
      <c r="Y75" s="740">
        <f>SUM(T64:W75)</f>
        <v>154894.18999999997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10908.04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10908.04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10908.04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10908.04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10908.04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10908.04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10908.04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10908.04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10908.04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10908.04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v>337995.68</v>
      </c>
      <c r="Q86" s="1580"/>
      <c r="R86" s="1580"/>
      <c r="S86" s="1580"/>
      <c r="T86" s="1581">
        <f>ROUND(IPMT(($AA$3%+0.35%)/11,1,$D$171-$D$76+1,$P$172-(SUM($P$4:P85)))*-1,2)</f>
        <v>10908.04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8726.43</v>
      </c>
      <c r="U87" s="1560"/>
      <c r="V87" s="1560"/>
      <c r="W87" s="1560"/>
      <c r="Y87" s="740">
        <f>SUM(T76:W87)</f>
        <v>128714.87000000002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8726.43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8726.43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8726.43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8726.43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8726.43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8726.43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8726.43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8726.43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8726.43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8726.43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v>337995.68</v>
      </c>
      <c r="Q98" s="1580"/>
      <c r="R98" s="1580"/>
      <c r="S98" s="1580"/>
      <c r="T98" s="1581">
        <f>ROUND(IPMT(($AA$3%+0.35%)/11,1,$D$171-$D$88+1,$P$172-(SUM($P$4:P97)))*-1,2)</f>
        <v>8726.43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6544.83</v>
      </c>
      <c r="U99" s="1560"/>
      <c r="V99" s="1560"/>
      <c r="W99" s="1560"/>
      <c r="Y99" s="740">
        <f>SUM(T88:W99)</f>
        <v>102535.55999999998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6544.83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6544.83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6544.83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6544.83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6544.83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6544.83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6544.83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6544.83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6544.83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6544.83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v>337995.68</v>
      </c>
      <c r="Q110" s="1580"/>
      <c r="R110" s="1580"/>
      <c r="S110" s="1580"/>
      <c r="T110" s="1581">
        <f>ROUND(IPMT(($AA$3%+0.35%)/11,1,$D$171-$D$160+1,$P$172-(SUM($P$4:P109)))*-1,2)</f>
        <v>6544.83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4363.22</v>
      </c>
      <c r="U111" s="1575"/>
      <c r="V111" s="1575"/>
      <c r="W111" s="1575"/>
      <c r="Y111" s="740">
        <f>SUM(T100:W111)</f>
        <v>76356.350000000006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4363.22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4363.22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4363.22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4363.22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4363.22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4363.22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4363.22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4363.22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4363.22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4363.22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v>337995.68</v>
      </c>
      <c r="Q122" s="1580"/>
      <c r="R122" s="1580"/>
      <c r="S122" s="1580"/>
      <c r="T122" s="1581">
        <f>ROUND(IPMT(($AA$3%+0.35%)/11,1,$D$171-$D$160+1,$P$172-(SUM($P$4:P121)))*-1,2)</f>
        <v>4363.22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2181.61</v>
      </c>
      <c r="U123" s="1575"/>
      <c r="V123" s="1575"/>
      <c r="W123" s="1575"/>
      <c r="Y123" s="740">
        <f>SUM(T112:W123)</f>
        <v>50177.030000000006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2181.61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2181.61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2181.61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2181.61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2181.61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2181.61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2181.61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2181.61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2181.61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2181.61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v>337995.71</v>
      </c>
      <c r="Q134" s="1580"/>
      <c r="R134" s="1580"/>
      <c r="S134" s="1580"/>
      <c r="T134" s="1581">
        <f>ROUND(IPMT(($AA$3%+0.35%)/11,1,$D$171-$D$160+1,$P$172-(SUM($P$4:P133)))*-1,2)</f>
        <v>2181.61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0</v>
      </c>
      <c r="U135" s="1575"/>
      <c r="V135" s="1575"/>
      <c r="W135" s="1575"/>
      <c r="Y135" s="740">
        <f>SUM(T124:W135)</f>
        <v>23997.710000000003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0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0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0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0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0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0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0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0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0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0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f>'HSZ do groszy'!AG28</f>
        <v>0</v>
      </c>
      <c r="Q146" s="1580"/>
      <c r="R146" s="1580"/>
      <c r="S146" s="1580"/>
      <c r="T146" s="1581">
        <f>ROUND(IPMT(($AA$3%+0.35%)/11,1,$D$171-$D$160+1,$P$172-(SUM($P$4:P145)))*-1,2)</f>
        <v>0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0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3379956.83</v>
      </c>
      <c r="Q172" s="1565"/>
      <c r="R172" s="1565"/>
      <c r="S172" s="1566"/>
      <c r="T172" s="1567">
        <f>SUM(T4:T171)</f>
        <v>1679838.5249936369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8" zoomScaleNormal="100" workbookViewId="0">
      <selection activeCell="P147" sqref="P147:S147"/>
    </sheetView>
  </sheetViews>
  <sheetFormatPr defaultRowHeight="12.75"/>
  <cols>
    <col min="1" max="16" width="1.85546875" style="882" customWidth="1"/>
    <col min="17" max="17" width="5.28515625" style="882" customWidth="1"/>
    <col min="18" max="18" width="6.5703125" style="882" customWidth="1"/>
    <col min="19" max="19" width="12.140625" style="882" customWidth="1"/>
    <col min="20" max="20" width="2.7109375" style="882" customWidth="1"/>
    <col min="21" max="21" width="13.5703125" style="882" customWidth="1"/>
    <col min="22" max="22" width="9.85546875" style="882" customWidth="1"/>
    <col min="23" max="23" width="6.85546875" style="882" customWidth="1"/>
    <col min="24" max="24" width="9.140625" style="882"/>
    <col min="25" max="25" width="21.5703125" style="882" customWidth="1"/>
    <col min="26" max="16384" width="9.140625" style="882"/>
  </cols>
  <sheetData>
    <row r="1" spans="1:27" ht="12.75" customHeight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</row>
    <row r="2" spans="1:27" ht="18.75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Y2" s="734" t="s">
        <v>332</v>
      </c>
      <c r="AA2" s="735">
        <f>4.75+3</f>
        <v>7.75</v>
      </c>
    </row>
    <row r="3" spans="1:27" ht="22.5" customHeight="1">
      <c r="A3" s="1540" t="s">
        <v>221</v>
      </c>
      <c r="B3" s="1541"/>
      <c r="C3" s="1541"/>
      <c r="D3" s="1542" t="s">
        <v>333</v>
      </c>
      <c r="E3" s="1542"/>
      <c r="F3" s="1542"/>
      <c r="G3" s="1542"/>
      <c r="H3" s="1542" t="s">
        <v>334</v>
      </c>
      <c r="I3" s="1542"/>
      <c r="J3" s="1542"/>
      <c r="K3" s="1542"/>
      <c r="L3" s="1542"/>
      <c r="M3" s="1542"/>
      <c r="N3" s="1542"/>
      <c r="O3" s="1542"/>
      <c r="P3" s="1543" t="s">
        <v>335</v>
      </c>
      <c r="Q3" s="1544"/>
      <c r="R3" s="1544"/>
      <c r="S3" s="1545"/>
      <c r="T3" s="1543" t="s">
        <v>336</v>
      </c>
      <c r="U3" s="1544"/>
      <c r="V3" s="1544"/>
      <c r="W3" s="1545"/>
      <c r="Y3" s="734"/>
      <c r="AA3" s="736">
        <f>IF(AA2-1&lt;=3,3,AA2-1)</f>
        <v>6.75</v>
      </c>
    </row>
    <row r="4" spans="1:27" ht="14.1" customHeight="1">
      <c r="A4" s="1546">
        <v>1</v>
      </c>
      <c r="B4" s="1547"/>
      <c r="C4" s="1547"/>
      <c r="D4" s="1548">
        <v>2014</v>
      </c>
      <c r="E4" s="1548"/>
      <c r="F4" s="1548"/>
      <c r="G4" s="1548"/>
      <c r="H4" s="1548" t="s">
        <v>337</v>
      </c>
      <c r="I4" s="1548"/>
      <c r="J4" s="1548"/>
      <c r="K4" s="1548"/>
      <c r="L4" s="1548"/>
      <c r="M4" s="1548"/>
      <c r="N4" s="1548"/>
      <c r="O4" s="1548"/>
      <c r="P4" s="1549">
        <v>0</v>
      </c>
      <c r="Q4" s="1550"/>
      <c r="R4" s="1550"/>
      <c r="S4" s="1550"/>
      <c r="T4" s="1551">
        <f>IPMT((AA3%+0.35%)/11,1,$D$171-D4+1,$P$172*-1)</f>
        <v>3521.1026127272726</v>
      </c>
      <c r="U4" s="1551"/>
      <c r="V4" s="1551"/>
      <c r="W4" s="1551"/>
    </row>
    <row r="5" spans="1:27" ht="14.1" customHeight="1">
      <c r="A5" s="1552">
        <v>2</v>
      </c>
      <c r="B5" s="1553"/>
      <c r="C5" s="1553"/>
      <c r="D5" s="1554">
        <f>D4</f>
        <v>2014</v>
      </c>
      <c r="E5" s="1555"/>
      <c r="F5" s="1555"/>
      <c r="G5" s="1556"/>
      <c r="H5" s="1557" t="s">
        <v>338</v>
      </c>
      <c r="I5" s="1557"/>
      <c r="J5" s="1557"/>
      <c r="K5" s="1557"/>
      <c r="L5" s="1557"/>
      <c r="M5" s="1557"/>
      <c r="N5" s="1557"/>
      <c r="O5" s="1557"/>
      <c r="P5" s="1558">
        <v>0</v>
      </c>
      <c r="Q5" s="1559"/>
      <c r="R5" s="1559"/>
      <c r="S5" s="1559"/>
      <c r="T5" s="1560">
        <f>ROUND(IPMT(($AA$3%+0.35%)/11,1,$D$171-$D$4+1,$P$172-(SUM($P$4:P4)))*-1,2)</f>
        <v>3521.1</v>
      </c>
      <c r="U5" s="1560"/>
      <c r="V5" s="1560"/>
      <c r="W5" s="1560"/>
    </row>
    <row r="6" spans="1:27" ht="14.1" customHeight="1">
      <c r="A6" s="1552">
        <v>3</v>
      </c>
      <c r="B6" s="1553"/>
      <c r="C6" s="1553"/>
      <c r="D6" s="1554">
        <f t="shared" ref="D6:D15" si="0">D5</f>
        <v>2014</v>
      </c>
      <c r="E6" s="1555"/>
      <c r="F6" s="1555"/>
      <c r="G6" s="1556"/>
      <c r="H6" s="1557" t="s">
        <v>339</v>
      </c>
      <c r="I6" s="1557"/>
      <c r="J6" s="1557"/>
      <c r="K6" s="1557"/>
      <c r="L6" s="1557"/>
      <c r="M6" s="1557"/>
      <c r="N6" s="1557"/>
      <c r="O6" s="1557"/>
      <c r="P6" s="1558">
        <v>0</v>
      </c>
      <c r="Q6" s="1559"/>
      <c r="R6" s="1559"/>
      <c r="S6" s="1559"/>
      <c r="T6" s="1560">
        <f>ROUND(IPMT(($AA$3%+0.35%)/11,1,$D$171-$D$4+1,$P$172-(SUM($P$4:P5)))*-1,2)</f>
        <v>3521.1</v>
      </c>
      <c r="U6" s="1560"/>
      <c r="V6" s="1560"/>
      <c r="W6" s="1560"/>
    </row>
    <row r="7" spans="1:27" ht="14.1" customHeight="1">
      <c r="A7" s="1552">
        <v>4</v>
      </c>
      <c r="B7" s="1553"/>
      <c r="C7" s="1553"/>
      <c r="D7" s="1554">
        <f t="shared" si="0"/>
        <v>2014</v>
      </c>
      <c r="E7" s="1555"/>
      <c r="F7" s="1555"/>
      <c r="G7" s="1556"/>
      <c r="H7" s="1557" t="s">
        <v>340</v>
      </c>
      <c r="I7" s="1557"/>
      <c r="J7" s="1557"/>
      <c r="K7" s="1557"/>
      <c r="L7" s="1557"/>
      <c r="M7" s="1557"/>
      <c r="N7" s="1557"/>
      <c r="O7" s="1557"/>
      <c r="P7" s="1558">
        <v>0</v>
      </c>
      <c r="Q7" s="1559"/>
      <c r="R7" s="1559"/>
      <c r="S7" s="1559"/>
      <c r="T7" s="1560">
        <f>ROUND(IPMT(($AA$3%+0.35%)/11,1,$D$171-$D$4+1,$P$172-(SUM($P$4:P6)))*-1,2)</f>
        <v>3521.1</v>
      </c>
      <c r="U7" s="1560"/>
      <c r="V7" s="1560"/>
      <c r="W7" s="1560"/>
    </row>
    <row r="8" spans="1:27" ht="14.1" customHeight="1">
      <c r="A8" s="1552">
        <v>5</v>
      </c>
      <c r="B8" s="1553"/>
      <c r="C8" s="1553"/>
      <c r="D8" s="1554">
        <f t="shared" si="0"/>
        <v>2014</v>
      </c>
      <c r="E8" s="1555"/>
      <c r="F8" s="1555"/>
      <c r="G8" s="1556"/>
      <c r="H8" s="1557" t="s">
        <v>341</v>
      </c>
      <c r="I8" s="1557"/>
      <c r="J8" s="1557"/>
      <c r="K8" s="1557"/>
      <c r="L8" s="1557"/>
      <c r="M8" s="1557"/>
      <c r="N8" s="1557"/>
      <c r="O8" s="1557"/>
      <c r="P8" s="1558">
        <v>0</v>
      </c>
      <c r="Q8" s="1559"/>
      <c r="R8" s="1559"/>
      <c r="S8" s="1559"/>
      <c r="T8" s="1560">
        <f>ROUND(IPMT(($AA$3%+0.35%)/11,1,$D$171-$D$4+1,$P$172-(SUM($P$4:P7)))*-1,2)</f>
        <v>3521.1</v>
      </c>
      <c r="U8" s="1560"/>
      <c r="V8" s="1560"/>
      <c r="W8" s="1560"/>
    </row>
    <row r="9" spans="1:27" ht="14.1" customHeight="1">
      <c r="A9" s="1552">
        <v>6</v>
      </c>
      <c r="B9" s="1553"/>
      <c r="C9" s="1553"/>
      <c r="D9" s="1554">
        <f t="shared" si="0"/>
        <v>2014</v>
      </c>
      <c r="E9" s="1555"/>
      <c r="F9" s="1555"/>
      <c r="G9" s="1556"/>
      <c r="H9" s="1557" t="s">
        <v>342</v>
      </c>
      <c r="I9" s="1557"/>
      <c r="J9" s="1557"/>
      <c r="K9" s="1557"/>
      <c r="L9" s="1557"/>
      <c r="M9" s="1557"/>
      <c r="N9" s="1557"/>
      <c r="O9" s="1557"/>
      <c r="P9" s="1558">
        <v>0</v>
      </c>
      <c r="Q9" s="1559"/>
      <c r="R9" s="1559"/>
      <c r="S9" s="1559"/>
      <c r="T9" s="1560">
        <f>ROUND(IPMT(($AA$3%+0.35%)/11,1,$D$171-$D$4+1,$P$172-(SUM($P$4:P8)))*-1,2)</f>
        <v>3521.1</v>
      </c>
      <c r="U9" s="1560"/>
      <c r="V9" s="1560"/>
      <c r="W9" s="1560"/>
    </row>
    <row r="10" spans="1:27" ht="14.1" customHeight="1">
      <c r="A10" s="1552">
        <v>7</v>
      </c>
      <c r="B10" s="1553"/>
      <c r="C10" s="1553"/>
      <c r="D10" s="1554">
        <f t="shared" si="0"/>
        <v>2014</v>
      </c>
      <c r="E10" s="1555"/>
      <c r="F10" s="1555"/>
      <c r="G10" s="1556"/>
      <c r="H10" s="1557" t="s">
        <v>343</v>
      </c>
      <c r="I10" s="1557"/>
      <c r="J10" s="1557"/>
      <c r="K10" s="1557"/>
      <c r="L10" s="1557"/>
      <c r="M10" s="1557"/>
      <c r="N10" s="1557"/>
      <c r="O10" s="1557"/>
      <c r="P10" s="1558">
        <v>0</v>
      </c>
      <c r="Q10" s="1559"/>
      <c r="R10" s="1559"/>
      <c r="S10" s="1559"/>
      <c r="T10" s="1560">
        <f>ROUND(IPMT(($AA$3%+0.35%)/11,1,$D$171-$D$4+1,$P$172-(SUM($P$4:P9)))*-1,2)</f>
        <v>3521.1</v>
      </c>
      <c r="U10" s="1560"/>
      <c r="V10" s="1560"/>
      <c r="W10" s="1560"/>
    </row>
    <row r="11" spans="1:27" ht="14.1" customHeight="1">
      <c r="A11" s="1552">
        <v>8</v>
      </c>
      <c r="B11" s="1553"/>
      <c r="C11" s="1553"/>
      <c r="D11" s="1554">
        <f t="shared" si="0"/>
        <v>2014</v>
      </c>
      <c r="E11" s="1555"/>
      <c r="F11" s="1555"/>
      <c r="G11" s="1556"/>
      <c r="H11" s="1557" t="s">
        <v>344</v>
      </c>
      <c r="I11" s="1557"/>
      <c r="J11" s="1557"/>
      <c r="K11" s="1557"/>
      <c r="L11" s="1557"/>
      <c r="M11" s="1557"/>
      <c r="N11" s="1557"/>
      <c r="O11" s="1557"/>
      <c r="P11" s="1558">
        <v>0</v>
      </c>
      <c r="Q11" s="1559"/>
      <c r="R11" s="1559"/>
      <c r="S11" s="1559"/>
      <c r="T11" s="1560">
        <f>ROUND(IPMT(($AA$3%+0.35%)/11,1,$D$171-$D$4+1,$P$172-(SUM($P$4:P10)))*-1,2)</f>
        <v>3521.1</v>
      </c>
      <c r="U11" s="1560"/>
      <c r="V11" s="1560"/>
      <c r="W11" s="1560"/>
    </row>
    <row r="12" spans="1:27" ht="14.1" customHeight="1">
      <c r="A12" s="1552">
        <v>9</v>
      </c>
      <c r="B12" s="1553"/>
      <c r="C12" s="1553"/>
      <c r="D12" s="1554">
        <f t="shared" si="0"/>
        <v>2014</v>
      </c>
      <c r="E12" s="1555"/>
      <c r="F12" s="1555"/>
      <c r="G12" s="1556"/>
      <c r="H12" s="1557" t="s">
        <v>345</v>
      </c>
      <c r="I12" s="1557"/>
      <c r="J12" s="1557"/>
      <c r="K12" s="1557"/>
      <c r="L12" s="1557"/>
      <c r="M12" s="1557"/>
      <c r="N12" s="1557"/>
      <c r="O12" s="1557"/>
      <c r="P12" s="1558">
        <v>0</v>
      </c>
      <c r="Q12" s="1559"/>
      <c r="R12" s="1559"/>
      <c r="S12" s="1559"/>
      <c r="T12" s="1560">
        <f>ROUND(IPMT(($AA$3%+0.35%)/11,1,$D$171-$D$4+1,$P$172-(SUM($P$4:P11)))*-1,2)</f>
        <v>3521.1</v>
      </c>
      <c r="U12" s="1560"/>
      <c r="V12" s="1560"/>
      <c r="W12" s="1560"/>
    </row>
    <row r="13" spans="1:27" ht="14.1" customHeight="1">
      <c r="A13" s="1552">
        <v>10</v>
      </c>
      <c r="B13" s="1553"/>
      <c r="C13" s="1553"/>
      <c r="D13" s="1554">
        <f t="shared" si="0"/>
        <v>2014</v>
      </c>
      <c r="E13" s="1555"/>
      <c r="F13" s="1555"/>
      <c r="G13" s="1556"/>
      <c r="H13" s="1557" t="s">
        <v>346</v>
      </c>
      <c r="I13" s="1557"/>
      <c r="J13" s="1557"/>
      <c r="K13" s="1557"/>
      <c r="L13" s="1557"/>
      <c r="M13" s="1557"/>
      <c r="N13" s="1557"/>
      <c r="O13" s="1557"/>
      <c r="P13" s="1558">
        <v>0</v>
      </c>
      <c r="Q13" s="1559"/>
      <c r="R13" s="1559"/>
      <c r="S13" s="1559"/>
      <c r="T13" s="1560">
        <f>ROUND(IPMT(($AA$3%+0.35%)/11,1,$D$171-$D$4+1,$P$172-(SUM($P$4:P12)))*-1,2)</f>
        <v>3521.1</v>
      </c>
      <c r="U13" s="1560"/>
      <c r="V13" s="1560"/>
      <c r="W13" s="1560"/>
    </row>
    <row r="14" spans="1:27" s="743" customFormat="1" ht="14.1" customHeight="1">
      <c r="A14" s="1576">
        <v>11</v>
      </c>
      <c r="B14" s="1577"/>
      <c r="C14" s="1577"/>
      <c r="D14" s="1582">
        <f t="shared" si="0"/>
        <v>2014</v>
      </c>
      <c r="E14" s="1583"/>
      <c r="F14" s="1583"/>
      <c r="G14" s="1584"/>
      <c r="H14" s="1578" t="s">
        <v>347</v>
      </c>
      <c r="I14" s="1578"/>
      <c r="J14" s="1578"/>
      <c r="K14" s="1578"/>
      <c r="L14" s="1578"/>
      <c r="M14" s="1578"/>
      <c r="N14" s="1578"/>
      <c r="O14" s="1578"/>
      <c r="P14" s="1579">
        <f>'HSZ do groszy'!K29</f>
        <v>0</v>
      </c>
      <c r="Q14" s="1580"/>
      <c r="R14" s="1580"/>
      <c r="S14" s="1580"/>
      <c r="T14" s="1581">
        <f>ROUND(IPMT(($AA$3%+0.35%)/11,1,$D$171-$D$4+1,$P$172-(SUM($P$4:P13)))*-1,2)</f>
        <v>3521.1</v>
      </c>
      <c r="U14" s="1581"/>
      <c r="V14" s="1581"/>
      <c r="W14" s="1581"/>
    </row>
    <row r="15" spans="1:27" ht="14.1" customHeight="1">
      <c r="A15" s="1552">
        <v>12</v>
      </c>
      <c r="B15" s="1553"/>
      <c r="C15" s="1553"/>
      <c r="D15" s="1554">
        <f t="shared" si="0"/>
        <v>2014</v>
      </c>
      <c r="E15" s="1555"/>
      <c r="F15" s="1555"/>
      <c r="G15" s="1556"/>
      <c r="H15" s="1557" t="s">
        <v>348</v>
      </c>
      <c r="I15" s="1557"/>
      <c r="J15" s="1557"/>
      <c r="K15" s="1557"/>
      <c r="L15" s="1557"/>
      <c r="M15" s="1557"/>
      <c r="N15" s="1557"/>
      <c r="O15" s="1557"/>
      <c r="P15" s="1558">
        <v>0</v>
      </c>
      <c r="Q15" s="1559"/>
      <c r="R15" s="1559"/>
      <c r="S15" s="1559"/>
      <c r="T15" s="1560">
        <f>ROUND(IPMT(($AA$3%+0.35%)/11,1,$D$171-$D$4+1,$P$172-(SUM($P$4:P14)))*-1,2)</f>
        <v>3521.1</v>
      </c>
      <c r="U15" s="1560"/>
      <c r="V15" s="1560"/>
      <c r="W15" s="1560"/>
      <c r="Y15" s="740">
        <f>SUM(T4:W15)</f>
        <v>42253.202612727262</v>
      </c>
    </row>
    <row r="16" spans="1:27" ht="14.1" customHeight="1">
      <c r="A16" s="1552">
        <v>13</v>
      </c>
      <c r="B16" s="1553"/>
      <c r="C16" s="1553"/>
      <c r="D16" s="1557">
        <f>D15+1</f>
        <v>2015</v>
      </c>
      <c r="E16" s="1557"/>
      <c r="F16" s="1557"/>
      <c r="G16" s="1557"/>
      <c r="H16" s="1557" t="s">
        <v>337</v>
      </c>
      <c r="I16" s="1557"/>
      <c r="J16" s="1557"/>
      <c r="K16" s="1557"/>
      <c r="L16" s="1557"/>
      <c r="M16" s="1557"/>
      <c r="N16" s="1557"/>
      <c r="O16" s="1557"/>
      <c r="P16" s="1558">
        <v>0</v>
      </c>
      <c r="Q16" s="1559"/>
      <c r="R16" s="1559"/>
      <c r="S16" s="1559"/>
      <c r="T16" s="1560">
        <f>ROUND(IPMT(($AA$3%+0.35%)/11,1,$D$171-D15+1,$P$172-(SUM($P$4:P15)))*-1,2)</f>
        <v>3521.1</v>
      </c>
      <c r="U16" s="1560"/>
      <c r="V16" s="1560"/>
      <c r="W16" s="1560"/>
      <c r="Y16" s="737"/>
      <c r="Z16" s="737"/>
    </row>
    <row r="17" spans="1:26" ht="14.1" customHeight="1">
      <c r="A17" s="1552">
        <v>14</v>
      </c>
      <c r="B17" s="1553"/>
      <c r="C17" s="1553"/>
      <c r="D17" s="1557">
        <f>$D$16</f>
        <v>2015</v>
      </c>
      <c r="E17" s="1557"/>
      <c r="F17" s="1557"/>
      <c r="G17" s="1557"/>
      <c r="H17" s="1557" t="s">
        <v>338</v>
      </c>
      <c r="I17" s="1557"/>
      <c r="J17" s="1557"/>
      <c r="K17" s="1557"/>
      <c r="L17" s="1557"/>
      <c r="M17" s="1557"/>
      <c r="N17" s="1557"/>
      <c r="O17" s="1557"/>
      <c r="P17" s="1558">
        <v>0</v>
      </c>
      <c r="Q17" s="1559"/>
      <c r="R17" s="1559"/>
      <c r="S17" s="1559"/>
      <c r="T17" s="1560">
        <f>ROUND(IPMT(($AA$3%+0.35%)/11,1,$D$171-D16+1,$P$172-(SUM($P$4:P16)))*-1,2)</f>
        <v>3521.1</v>
      </c>
      <c r="U17" s="1560"/>
      <c r="V17" s="1560"/>
      <c r="W17" s="1560"/>
      <c r="Y17" s="737"/>
      <c r="Z17" s="737"/>
    </row>
    <row r="18" spans="1:26" ht="14.1" customHeight="1">
      <c r="A18" s="1552">
        <v>15</v>
      </c>
      <c r="B18" s="1553"/>
      <c r="C18" s="1553"/>
      <c r="D18" s="1557">
        <f t="shared" ref="D18:D27" si="1">$D$16</f>
        <v>2015</v>
      </c>
      <c r="E18" s="1557"/>
      <c r="F18" s="1557"/>
      <c r="G18" s="1557"/>
      <c r="H18" s="1557" t="s">
        <v>339</v>
      </c>
      <c r="I18" s="1557"/>
      <c r="J18" s="1557"/>
      <c r="K18" s="1557"/>
      <c r="L18" s="1557"/>
      <c r="M18" s="1557"/>
      <c r="N18" s="1557"/>
      <c r="O18" s="1557"/>
      <c r="P18" s="1558">
        <v>0</v>
      </c>
      <c r="Q18" s="1559"/>
      <c r="R18" s="1559"/>
      <c r="S18" s="1559"/>
      <c r="T18" s="1560">
        <f>ROUND(IPMT(($AA$3%+0.35%)/11,1,$D$171-$D$16+1,$P$172-(SUM($P$4:P17)))*-1,2)</f>
        <v>3521.1</v>
      </c>
      <c r="U18" s="1560"/>
      <c r="V18" s="1560"/>
      <c r="W18" s="1560"/>
      <c r="Y18" s="737"/>
      <c r="Z18" s="737"/>
    </row>
    <row r="19" spans="1:26" ht="14.1" customHeight="1">
      <c r="A19" s="1552">
        <v>16</v>
      </c>
      <c r="B19" s="1553"/>
      <c r="C19" s="1553"/>
      <c r="D19" s="1557">
        <f t="shared" si="1"/>
        <v>2015</v>
      </c>
      <c r="E19" s="1557"/>
      <c r="F19" s="1557"/>
      <c r="G19" s="1557"/>
      <c r="H19" s="1557" t="s">
        <v>340</v>
      </c>
      <c r="I19" s="1557"/>
      <c r="J19" s="1557"/>
      <c r="K19" s="1557"/>
      <c r="L19" s="1557"/>
      <c r="M19" s="1557"/>
      <c r="N19" s="1557"/>
      <c r="O19" s="1557"/>
      <c r="P19" s="1558">
        <v>0</v>
      </c>
      <c r="Q19" s="1559"/>
      <c r="R19" s="1559"/>
      <c r="S19" s="1559"/>
      <c r="T19" s="1560">
        <f>ROUND(IPMT(($AA$3%+0.35%)/11,1,$D$171-$D$16+1,$P$172-(SUM($P$4:P18)))*-1,2)</f>
        <v>3521.1</v>
      </c>
      <c r="U19" s="1560"/>
      <c r="V19" s="1560"/>
      <c r="W19" s="1560"/>
      <c r="Y19" s="737"/>
      <c r="Z19" s="737"/>
    </row>
    <row r="20" spans="1:26" ht="14.1" customHeight="1">
      <c r="A20" s="1552">
        <v>17</v>
      </c>
      <c r="B20" s="1553"/>
      <c r="C20" s="1553"/>
      <c r="D20" s="1557">
        <f t="shared" si="1"/>
        <v>2015</v>
      </c>
      <c r="E20" s="1557"/>
      <c r="F20" s="1557"/>
      <c r="G20" s="1557"/>
      <c r="H20" s="1557" t="s">
        <v>341</v>
      </c>
      <c r="I20" s="1557"/>
      <c r="J20" s="1557"/>
      <c r="K20" s="1557"/>
      <c r="L20" s="1557"/>
      <c r="M20" s="1557"/>
      <c r="N20" s="1557"/>
      <c r="O20" s="1557"/>
      <c r="P20" s="1558">
        <v>0</v>
      </c>
      <c r="Q20" s="1559"/>
      <c r="R20" s="1559"/>
      <c r="S20" s="1559"/>
      <c r="T20" s="1560">
        <f>ROUND(IPMT(($AA$3%+0.35%)/11,1,$D$171-$D$16+1,$P$172-(SUM($P$4:P19)))*-1,2)</f>
        <v>3521.1</v>
      </c>
      <c r="U20" s="1560"/>
      <c r="V20" s="1560"/>
      <c r="W20" s="1560"/>
      <c r="Y20" s="737"/>
      <c r="Z20" s="737"/>
    </row>
    <row r="21" spans="1:26" ht="14.1" customHeight="1">
      <c r="A21" s="1552">
        <v>18</v>
      </c>
      <c r="B21" s="1553"/>
      <c r="C21" s="1553"/>
      <c r="D21" s="1557">
        <f t="shared" si="1"/>
        <v>2015</v>
      </c>
      <c r="E21" s="1557"/>
      <c r="F21" s="1557"/>
      <c r="G21" s="1557"/>
      <c r="H21" s="1557" t="s">
        <v>342</v>
      </c>
      <c r="I21" s="1557"/>
      <c r="J21" s="1557"/>
      <c r="K21" s="1557"/>
      <c r="L21" s="1557"/>
      <c r="M21" s="1557"/>
      <c r="N21" s="1557"/>
      <c r="O21" s="1557"/>
      <c r="P21" s="1558">
        <v>0</v>
      </c>
      <c r="Q21" s="1559"/>
      <c r="R21" s="1559"/>
      <c r="S21" s="1559"/>
      <c r="T21" s="1560">
        <f>ROUND(IPMT(($AA$3%+0.35%)/11,1,$D$171-$D$16+1,$P$172-(SUM($P$4:P20)))*-1,2)</f>
        <v>3521.1</v>
      </c>
      <c r="U21" s="1560"/>
      <c r="V21" s="1560"/>
      <c r="W21" s="1560"/>
      <c r="Y21" s="737"/>
      <c r="Z21" s="737"/>
    </row>
    <row r="22" spans="1:26" ht="14.1" customHeight="1">
      <c r="A22" s="1552">
        <v>19</v>
      </c>
      <c r="B22" s="1553"/>
      <c r="C22" s="1553"/>
      <c r="D22" s="1557">
        <f t="shared" si="1"/>
        <v>2015</v>
      </c>
      <c r="E22" s="1557"/>
      <c r="F22" s="1557"/>
      <c r="G22" s="1557"/>
      <c r="H22" s="1557" t="s">
        <v>343</v>
      </c>
      <c r="I22" s="1557"/>
      <c r="J22" s="1557"/>
      <c r="K22" s="1557"/>
      <c r="L22" s="1557"/>
      <c r="M22" s="1557"/>
      <c r="N22" s="1557"/>
      <c r="O22" s="1557"/>
      <c r="P22" s="1558">
        <v>0</v>
      </c>
      <c r="Q22" s="1559"/>
      <c r="R22" s="1559"/>
      <c r="S22" s="1559"/>
      <c r="T22" s="1560">
        <f>ROUND(IPMT(($AA$3%+0.35%)/11,1,$D$171-$D$16+1,$P$172-(SUM($P$4:P21)))*-1,2)</f>
        <v>3521.1</v>
      </c>
      <c r="U22" s="1560"/>
      <c r="V22" s="1560"/>
      <c r="W22" s="1560"/>
      <c r="Y22" s="737"/>
      <c r="Z22" s="737"/>
    </row>
    <row r="23" spans="1:26" ht="14.1" customHeight="1">
      <c r="A23" s="1552">
        <v>20</v>
      </c>
      <c r="B23" s="1553"/>
      <c r="C23" s="1553"/>
      <c r="D23" s="1557">
        <f t="shared" si="1"/>
        <v>2015</v>
      </c>
      <c r="E23" s="1557"/>
      <c r="F23" s="1557"/>
      <c r="G23" s="1557"/>
      <c r="H23" s="1557" t="s">
        <v>344</v>
      </c>
      <c r="I23" s="1557"/>
      <c r="J23" s="1557"/>
      <c r="K23" s="1557"/>
      <c r="L23" s="1557"/>
      <c r="M23" s="1557"/>
      <c r="N23" s="1557"/>
      <c r="O23" s="1557"/>
      <c r="P23" s="1558">
        <v>0</v>
      </c>
      <c r="Q23" s="1559"/>
      <c r="R23" s="1559"/>
      <c r="S23" s="1559"/>
      <c r="T23" s="1560">
        <f>ROUND(IPMT(($AA$3%+0.35%)/11,1,$D$171-$D$16+1,$P$172-(SUM($P$4:P22)))*-1,2)</f>
        <v>3521.1</v>
      </c>
      <c r="U23" s="1560"/>
      <c r="V23" s="1560"/>
      <c r="W23" s="1560"/>
      <c r="Y23" s="737"/>
      <c r="Z23" s="737"/>
    </row>
    <row r="24" spans="1:26" ht="14.1" customHeight="1">
      <c r="A24" s="1552">
        <v>21</v>
      </c>
      <c r="B24" s="1553"/>
      <c r="C24" s="1553"/>
      <c r="D24" s="1557">
        <f t="shared" si="1"/>
        <v>2015</v>
      </c>
      <c r="E24" s="1557"/>
      <c r="F24" s="1557"/>
      <c r="G24" s="1557"/>
      <c r="H24" s="1557" t="s">
        <v>345</v>
      </c>
      <c r="I24" s="1557"/>
      <c r="J24" s="1557"/>
      <c r="K24" s="1557"/>
      <c r="L24" s="1557"/>
      <c r="M24" s="1557"/>
      <c r="N24" s="1557"/>
      <c r="O24" s="1557"/>
      <c r="P24" s="1558">
        <v>0</v>
      </c>
      <c r="Q24" s="1559"/>
      <c r="R24" s="1559"/>
      <c r="S24" s="1559"/>
      <c r="T24" s="1560">
        <f>ROUND(IPMT(($AA$3%+0.35%)/11,1,$D$171-$D$16+1,$P$172-(SUM($P$4:P23)))*-1,2)</f>
        <v>3521.1</v>
      </c>
      <c r="U24" s="1560"/>
      <c r="V24" s="1560"/>
      <c r="W24" s="1560"/>
      <c r="Y24" s="737"/>
      <c r="Z24" s="737"/>
    </row>
    <row r="25" spans="1:26" ht="14.1" customHeight="1">
      <c r="A25" s="1552">
        <v>22</v>
      </c>
      <c r="B25" s="1553"/>
      <c r="C25" s="1553"/>
      <c r="D25" s="1557">
        <f t="shared" si="1"/>
        <v>2015</v>
      </c>
      <c r="E25" s="1557"/>
      <c r="F25" s="1557"/>
      <c r="G25" s="1557"/>
      <c r="H25" s="1557" t="s">
        <v>346</v>
      </c>
      <c r="I25" s="1557"/>
      <c r="J25" s="1557"/>
      <c r="K25" s="1557"/>
      <c r="L25" s="1557"/>
      <c r="M25" s="1557"/>
      <c r="N25" s="1557"/>
      <c r="O25" s="1557"/>
      <c r="P25" s="1558">
        <v>0</v>
      </c>
      <c r="Q25" s="1559"/>
      <c r="R25" s="1559"/>
      <c r="S25" s="1559"/>
      <c r="T25" s="1560">
        <f>ROUND(IPMT(($AA$3%+0.35%)/11,1,$D$171-$D$16+1,$P$172-(SUM($P$4:P24)))*-1,2)</f>
        <v>3521.1</v>
      </c>
      <c r="U25" s="1560"/>
      <c r="V25" s="1560"/>
      <c r="W25" s="1560"/>
      <c r="Y25" s="737"/>
      <c r="Z25" s="737"/>
    </row>
    <row r="26" spans="1:26" s="743" customFormat="1" ht="14.1" customHeight="1">
      <c r="A26" s="1576">
        <v>23</v>
      </c>
      <c r="B26" s="1577"/>
      <c r="C26" s="1577"/>
      <c r="D26" s="1578">
        <f t="shared" si="1"/>
        <v>2015</v>
      </c>
      <c r="E26" s="1578"/>
      <c r="F26" s="1578"/>
      <c r="G26" s="1578"/>
      <c r="H26" s="1578" t="s">
        <v>347</v>
      </c>
      <c r="I26" s="1578"/>
      <c r="J26" s="1578"/>
      <c r="K26" s="1578"/>
      <c r="L26" s="1578"/>
      <c r="M26" s="1578"/>
      <c r="N26" s="1578"/>
      <c r="O26" s="1578"/>
      <c r="P26" s="1579">
        <f>'HSZ do groszy'!M29</f>
        <v>0</v>
      </c>
      <c r="Q26" s="1580"/>
      <c r="R26" s="1580"/>
      <c r="S26" s="1580"/>
      <c r="T26" s="1581">
        <f>ROUND(IPMT(($AA$3%+0.35%)/11,1,$D$171-$D$16+1,$P$172-(SUM($P$4:P25)))*-1,2)</f>
        <v>3521.1</v>
      </c>
      <c r="U26" s="1581"/>
      <c r="V26" s="1581"/>
      <c r="W26" s="1581"/>
      <c r="Y26" s="744"/>
      <c r="Z26" s="744"/>
    </row>
    <row r="27" spans="1:26" ht="14.1" customHeight="1">
      <c r="A27" s="1552">
        <v>24</v>
      </c>
      <c r="B27" s="1553"/>
      <c r="C27" s="1553"/>
      <c r="D27" s="1557">
        <f t="shared" si="1"/>
        <v>2015</v>
      </c>
      <c r="E27" s="1557"/>
      <c r="F27" s="1557"/>
      <c r="G27" s="1557"/>
      <c r="H27" s="1557" t="s">
        <v>348</v>
      </c>
      <c r="I27" s="1557"/>
      <c r="J27" s="1557"/>
      <c r="K27" s="1557"/>
      <c r="L27" s="1557"/>
      <c r="M27" s="1557"/>
      <c r="N27" s="1557"/>
      <c r="O27" s="1557"/>
      <c r="P27" s="1558">
        <v>0</v>
      </c>
      <c r="Q27" s="1559"/>
      <c r="R27" s="1559"/>
      <c r="S27" s="1559"/>
      <c r="T27" s="1560">
        <f>ROUND(IPMT(($AA$3%+0.35%)/11,1,$D$171-$D$16+1,$P$172-(SUM($P$4:P26)))*-1,2)</f>
        <v>3521.1</v>
      </c>
      <c r="U27" s="1560"/>
      <c r="V27" s="1560"/>
      <c r="W27" s="1560"/>
      <c r="Y27" s="740">
        <f>SUM(T16:W27)</f>
        <v>42253.19999999999</v>
      </c>
    </row>
    <row r="28" spans="1:26" ht="14.1" customHeight="1">
      <c r="A28" s="1552">
        <v>25</v>
      </c>
      <c r="B28" s="1553"/>
      <c r="C28" s="1553"/>
      <c r="D28" s="1557">
        <f>D16+1</f>
        <v>2016</v>
      </c>
      <c r="E28" s="1557"/>
      <c r="F28" s="1557"/>
      <c r="G28" s="1557"/>
      <c r="H28" s="1557" t="s">
        <v>337</v>
      </c>
      <c r="I28" s="1557"/>
      <c r="J28" s="1557"/>
      <c r="K28" s="1557"/>
      <c r="L28" s="1557"/>
      <c r="M28" s="1557"/>
      <c r="N28" s="1557"/>
      <c r="O28" s="1557"/>
      <c r="P28" s="1558">
        <v>0</v>
      </c>
      <c r="Q28" s="1559"/>
      <c r="R28" s="1559"/>
      <c r="S28" s="1559"/>
      <c r="T28" s="1560">
        <f>ROUND(IPMT(($AA$3%+0.35%)/11,1,$D$171-$D$16+1,$P$172-(SUM($P$4:P27)))*-1,2)</f>
        <v>3521.1</v>
      </c>
      <c r="U28" s="1560"/>
      <c r="V28" s="1560"/>
      <c r="W28" s="1560"/>
      <c r="Y28" s="737"/>
      <c r="Z28" s="737"/>
    </row>
    <row r="29" spans="1:26" ht="14.1" customHeight="1">
      <c r="A29" s="1552">
        <v>26</v>
      </c>
      <c r="B29" s="1553"/>
      <c r="C29" s="1553"/>
      <c r="D29" s="1557">
        <f>$D$28</f>
        <v>2016</v>
      </c>
      <c r="E29" s="1557"/>
      <c r="F29" s="1557"/>
      <c r="G29" s="1557"/>
      <c r="H29" s="1557" t="s">
        <v>338</v>
      </c>
      <c r="I29" s="1557"/>
      <c r="J29" s="1557"/>
      <c r="K29" s="1557"/>
      <c r="L29" s="1557"/>
      <c r="M29" s="1557"/>
      <c r="N29" s="1557"/>
      <c r="O29" s="1557"/>
      <c r="P29" s="1558">
        <v>0</v>
      </c>
      <c r="Q29" s="1559"/>
      <c r="R29" s="1559"/>
      <c r="S29" s="1559"/>
      <c r="T29" s="1560">
        <f>ROUND(IPMT(($AA$3%+0.35%)/11,1,$D$171-$D$28+1,$P$172-(SUM($P$4:P28)))*-1,2)</f>
        <v>3521.1</v>
      </c>
      <c r="U29" s="1560"/>
      <c r="V29" s="1560"/>
      <c r="W29" s="1560"/>
      <c r="Y29" s="737"/>
      <c r="Z29" s="737"/>
    </row>
    <row r="30" spans="1:26" ht="14.1" customHeight="1">
      <c r="A30" s="1552">
        <v>27</v>
      </c>
      <c r="B30" s="1553"/>
      <c r="C30" s="1553"/>
      <c r="D30" s="1557">
        <f t="shared" ref="D30:D39" si="2">$D$28</f>
        <v>2016</v>
      </c>
      <c r="E30" s="1557"/>
      <c r="F30" s="1557"/>
      <c r="G30" s="1557"/>
      <c r="H30" s="1557" t="s">
        <v>339</v>
      </c>
      <c r="I30" s="1557"/>
      <c r="J30" s="1557"/>
      <c r="K30" s="1557"/>
      <c r="L30" s="1557"/>
      <c r="M30" s="1557"/>
      <c r="N30" s="1557"/>
      <c r="O30" s="1557"/>
      <c r="P30" s="1558">
        <v>0</v>
      </c>
      <c r="Q30" s="1559"/>
      <c r="R30" s="1559"/>
      <c r="S30" s="1559"/>
      <c r="T30" s="1560">
        <f>ROUND(IPMT(($AA$3%+0.35%)/11,1,$D$171-$D$28+1,$P$172-(SUM($P$4:P29)))*-1,2)</f>
        <v>3521.1</v>
      </c>
      <c r="U30" s="1560"/>
      <c r="V30" s="1560"/>
      <c r="W30" s="1560"/>
      <c r="Y30" s="737"/>
      <c r="Z30" s="737"/>
    </row>
    <row r="31" spans="1:26" ht="14.1" customHeight="1">
      <c r="A31" s="1552">
        <v>28</v>
      </c>
      <c r="B31" s="1553"/>
      <c r="C31" s="1553"/>
      <c r="D31" s="1557">
        <f t="shared" si="2"/>
        <v>2016</v>
      </c>
      <c r="E31" s="1557"/>
      <c r="F31" s="1557"/>
      <c r="G31" s="1557"/>
      <c r="H31" s="1557" t="s">
        <v>340</v>
      </c>
      <c r="I31" s="1557"/>
      <c r="J31" s="1557"/>
      <c r="K31" s="1557"/>
      <c r="L31" s="1557"/>
      <c r="M31" s="1557"/>
      <c r="N31" s="1557"/>
      <c r="O31" s="1557"/>
      <c r="P31" s="1558">
        <v>0</v>
      </c>
      <c r="Q31" s="1559"/>
      <c r="R31" s="1559"/>
      <c r="S31" s="1559"/>
      <c r="T31" s="1560">
        <f>ROUND(IPMT(($AA$3%+0.35%)/11,1,$D$171-$D$28+1,$P$172-(SUM($P$4:P30)))*-1,2)</f>
        <v>3521.1</v>
      </c>
      <c r="U31" s="1560"/>
      <c r="V31" s="1560"/>
      <c r="W31" s="1560"/>
      <c r="Y31" s="737"/>
      <c r="Z31" s="737"/>
    </row>
    <row r="32" spans="1:26" ht="14.1" customHeight="1">
      <c r="A32" s="1552">
        <v>29</v>
      </c>
      <c r="B32" s="1553"/>
      <c r="C32" s="1553"/>
      <c r="D32" s="1557">
        <f t="shared" si="2"/>
        <v>2016</v>
      </c>
      <c r="E32" s="1557"/>
      <c r="F32" s="1557"/>
      <c r="G32" s="1557"/>
      <c r="H32" s="1557" t="s">
        <v>341</v>
      </c>
      <c r="I32" s="1557"/>
      <c r="J32" s="1557"/>
      <c r="K32" s="1557"/>
      <c r="L32" s="1557"/>
      <c r="M32" s="1557"/>
      <c r="N32" s="1557"/>
      <c r="O32" s="1557"/>
      <c r="P32" s="1558">
        <v>0</v>
      </c>
      <c r="Q32" s="1559"/>
      <c r="R32" s="1559"/>
      <c r="S32" s="1559"/>
      <c r="T32" s="1560">
        <f>ROUND(IPMT(($AA$3%+0.35%)/11,1,$D$171-$D$28+1,$P$172-(SUM($P$4:P31)))*-1,2)</f>
        <v>3521.1</v>
      </c>
      <c r="U32" s="1560"/>
      <c r="V32" s="1560"/>
      <c r="W32" s="1560"/>
      <c r="Y32" s="737"/>
      <c r="Z32" s="737"/>
    </row>
    <row r="33" spans="1:26" ht="14.1" customHeight="1">
      <c r="A33" s="1552">
        <v>30</v>
      </c>
      <c r="B33" s="1553"/>
      <c r="C33" s="1553"/>
      <c r="D33" s="1557">
        <f t="shared" si="2"/>
        <v>2016</v>
      </c>
      <c r="E33" s="1557"/>
      <c r="F33" s="1557"/>
      <c r="G33" s="1557"/>
      <c r="H33" s="1557" t="s">
        <v>342</v>
      </c>
      <c r="I33" s="1557"/>
      <c r="J33" s="1557"/>
      <c r="K33" s="1557"/>
      <c r="L33" s="1557"/>
      <c r="M33" s="1557"/>
      <c r="N33" s="1557"/>
      <c r="O33" s="1557"/>
      <c r="P33" s="1558">
        <v>0</v>
      </c>
      <c r="Q33" s="1559"/>
      <c r="R33" s="1559"/>
      <c r="S33" s="1559"/>
      <c r="T33" s="1560">
        <f>ROUND(IPMT(($AA$3%+0.35%)/11,1,$D$171-$D$28+1,$P$172-(SUM($P$4:P32)))*-1,2)</f>
        <v>3521.1</v>
      </c>
      <c r="U33" s="1560"/>
      <c r="V33" s="1560"/>
      <c r="W33" s="1560"/>
      <c r="Y33" s="737"/>
      <c r="Z33" s="737"/>
    </row>
    <row r="34" spans="1:26" ht="14.1" customHeight="1">
      <c r="A34" s="1552">
        <v>31</v>
      </c>
      <c r="B34" s="1553"/>
      <c r="C34" s="1553"/>
      <c r="D34" s="1557">
        <f t="shared" si="2"/>
        <v>2016</v>
      </c>
      <c r="E34" s="1557"/>
      <c r="F34" s="1557"/>
      <c r="G34" s="1557"/>
      <c r="H34" s="1557" t="s">
        <v>343</v>
      </c>
      <c r="I34" s="1557"/>
      <c r="J34" s="1557"/>
      <c r="K34" s="1557"/>
      <c r="L34" s="1557"/>
      <c r="M34" s="1557"/>
      <c r="N34" s="1557"/>
      <c r="O34" s="1557"/>
      <c r="P34" s="1558">
        <v>0</v>
      </c>
      <c r="Q34" s="1559"/>
      <c r="R34" s="1559"/>
      <c r="S34" s="1559"/>
      <c r="T34" s="1560">
        <f>ROUND(IPMT(($AA$3%+0.35%)/11,1,$D$171-$D$28+1,$P$172-(SUM($P$4:P33)))*-1,2)</f>
        <v>3521.1</v>
      </c>
      <c r="U34" s="1560"/>
      <c r="V34" s="1560"/>
      <c r="W34" s="1560"/>
      <c r="Y34" s="737"/>
      <c r="Z34" s="737"/>
    </row>
    <row r="35" spans="1:26" ht="14.1" customHeight="1">
      <c r="A35" s="1552">
        <v>32</v>
      </c>
      <c r="B35" s="1553"/>
      <c r="C35" s="1553"/>
      <c r="D35" s="1557">
        <f t="shared" si="2"/>
        <v>2016</v>
      </c>
      <c r="E35" s="1557"/>
      <c r="F35" s="1557"/>
      <c r="G35" s="1557"/>
      <c r="H35" s="1557" t="s">
        <v>344</v>
      </c>
      <c r="I35" s="1557"/>
      <c r="J35" s="1557"/>
      <c r="K35" s="1557"/>
      <c r="L35" s="1557"/>
      <c r="M35" s="1557"/>
      <c r="N35" s="1557"/>
      <c r="O35" s="1557"/>
      <c r="P35" s="1558">
        <v>0</v>
      </c>
      <c r="Q35" s="1559"/>
      <c r="R35" s="1559"/>
      <c r="S35" s="1559"/>
      <c r="T35" s="1560">
        <f>ROUND(IPMT(($AA$3%+0.35%)/11,1,$D$171-$D$28+1,$P$172-(SUM($P$4:P34)))*-1,2)</f>
        <v>3521.1</v>
      </c>
      <c r="U35" s="1560"/>
      <c r="V35" s="1560"/>
      <c r="W35" s="1560"/>
      <c r="Y35" s="737"/>
      <c r="Z35" s="737"/>
    </row>
    <row r="36" spans="1:26" ht="14.1" customHeight="1">
      <c r="A36" s="1552">
        <v>33</v>
      </c>
      <c r="B36" s="1553"/>
      <c r="C36" s="1553"/>
      <c r="D36" s="1557">
        <f t="shared" si="2"/>
        <v>2016</v>
      </c>
      <c r="E36" s="1557"/>
      <c r="F36" s="1557"/>
      <c r="G36" s="1557"/>
      <c r="H36" s="1557" t="s">
        <v>345</v>
      </c>
      <c r="I36" s="1557"/>
      <c r="J36" s="1557"/>
      <c r="K36" s="1557"/>
      <c r="L36" s="1557"/>
      <c r="M36" s="1557"/>
      <c r="N36" s="1557"/>
      <c r="O36" s="1557"/>
      <c r="P36" s="1558">
        <v>0</v>
      </c>
      <c r="Q36" s="1559"/>
      <c r="R36" s="1559"/>
      <c r="S36" s="1559"/>
      <c r="T36" s="1560">
        <f>ROUND(IPMT(($AA$3%+0.35%)/11,1,$D$171-$D$28+1,$P$172-(SUM($P$4:P35)))*-1,2)</f>
        <v>3521.1</v>
      </c>
      <c r="U36" s="1560"/>
      <c r="V36" s="1560"/>
      <c r="W36" s="1560"/>
      <c r="Y36" s="737"/>
      <c r="Z36" s="737"/>
    </row>
    <row r="37" spans="1:26" ht="14.1" customHeight="1">
      <c r="A37" s="1552">
        <v>34</v>
      </c>
      <c r="B37" s="1553"/>
      <c r="C37" s="1553"/>
      <c r="D37" s="1557">
        <f t="shared" si="2"/>
        <v>2016</v>
      </c>
      <c r="E37" s="1557"/>
      <c r="F37" s="1557"/>
      <c r="G37" s="1557"/>
      <c r="H37" s="1557" t="s">
        <v>346</v>
      </c>
      <c r="I37" s="1557"/>
      <c r="J37" s="1557"/>
      <c r="K37" s="1557"/>
      <c r="L37" s="1557"/>
      <c r="M37" s="1557"/>
      <c r="N37" s="1557"/>
      <c r="O37" s="1557"/>
      <c r="P37" s="1558">
        <v>0</v>
      </c>
      <c r="Q37" s="1559"/>
      <c r="R37" s="1559"/>
      <c r="S37" s="1559"/>
      <c r="T37" s="1560">
        <f>ROUND(IPMT(($AA$3%+0.35%)/11,1,$D$171-$D$28+1,$P$172-(SUM($P$4:P36)))*-1,2)</f>
        <v>3521.1</v>
      </c>
      <c r="U37" s="1560"/>
      <c r="V37" s="1560"/>
      <c r="W37" s="1560"/>
      <c r="Y37" s="737"/>
      <c r="Z37" s="737"/>
    </row>
    <row r="38" spans="1:26" s="743" customFormat="1" ht="14.1" customHeight="1">
      <c r="A38" s="1576">
        <v>35</v>
      </c>
      <c r="B38" s="1577"/>
      <c r="C38" s="1577"/>
      <c r="D38" s="1578">
        <f t="shared" si="2"/>
        <v>2016</v>
      </c>
      <c r="E38" s="1578"/>
      <c r="F38" s="1578"/>
      <c r="G38" s="1578"/>
      <c r="H38" s="1578" t="s">
        <v>347</v>
      </c>
      <c r="I38" s="1578"/>
      <c r="J38" s="1578"/>
      <c r="K38" s="1578"/>
      <c r="L38" s="1578"/>
      <c r="M38" s="1578"/>
      <c r="N38" s="1578"/>
      <c r="O38" s="1578"/>
      <c r="P38" s="1579">
        <v>54552.29</v>
      </c>
      <c r="Q38" s="1580"/>
      <c r="R38" s="1580"/>
      <c r="S38" s="1580"/>
      <c r="T38" s="1581">
        <f>ROUND(IPMT(($AA$3%+0.35%)/11,1,$D$171-$D$28+1,$P$172-(SUM($P$4:P37)))*-1,2)</f>
        <v>3521.1</v>
      </c>
      <c r="U38" s="1581"/>
      <c r="V38" s="1581"/>
      <c r="W38" s="1581"/>
      <c r="Y38" s="744"/>
      <c r="Z38" s="744"/>
    </row>
    <row r="39" spans="1:26" ht="14.1" customHeight="1">
      <c r="A39" s="1552">
        <v>36</v>
      </c>
      <c r="B39" s="1553"/>
      <c r="C39" s="1553"/>
      <c r="D39" s="1557">
        <f t="shared" si="2"/>
        <v>2016</v>
      </c>
      <c r="E39" s="1557"/>
      <c r="F39" s="1557"/>
      <c r="G39" s="1557"/>
      <c r="H39" s="1557" t="s">
        <v>348</v>
      </c>
      <c r="I39" s="1557"/>
      <c r="J39" s="1557"/>
      <c r="K39" s="1557"/>
      <c r="L39" s="1557"/>
      <c r="M39" s="1557"/>
      <c r="N39" s="1557"/>
      <c r="O39" s="1557"/>
      <c r="P39" s="1558">
        <v>0</v>
      </c>
      <c r="Q39" s="1559"/>
      <c r="R39" s="1559"/>
      <c r="S39" s="1559"/>
      <c r="T39" s="1560">
        <f>ROUND(IPMT(($AA$3%+0.35%)/11,1,$D$171-$D$28+1,$P$172-(SUM($P$4:P38)))*-1,2)</f>
        <v>3168.99</v>
      </c>
      <c r="U39" s="1560"/>
      <c r="V39" s="1560"/>
      <c r="W39" s="1560"/>
      <c r="Y39" s="740">
        <f>SUM(T28:W39)</f>
        <v>41901.089999999989</v>
      </c>
    </row>
    <row r="40" spans="1:26" ht="14.1" customHeight="1">
      <c r="A40" s="1552">
        <v>37</v>
      </c>
      <c r="B40" s="1553"/>
      <c r="C40" s="1553"/>
      <c r="D40" s="1557">
        <f>D28+1</f>
        <v>2017</v>
      </c>
      <c r="E40" s="1557"/>
      <c r="F40" s="1557"/>
      <c r="G40" s="1557"/>
      <c r="H40" s="1557" t="s">
        <v>337</v>
      </c>
      <c r="I40" s="1557"/>
      <c r="J40" s="1557"/>
      <c r="K40" s="1557"/>
      <c r="L40" s="1557"/>
      <c r="M40" s="1557"/>
      <c r="N40" s="1557"/>
      <c r="O40" s="1557"/>
      <c r="P40" s="1558">
        <v>0</v>
      </c>
      <c r="Q40" s="1559"/>
      <c r="R40" s="1559"/>
      <c r="S40" s="1559"/>
      <c r="T40" s="1560">
        <f>ROUND(IPMT(($AA$3%+0.35%)/11,1,$D$171-$D$28+1,$P$172-(SUM($P$4:P39)))*-1,2)</f>
        <v>3168.99</v>
      </c>
      <c r="U40" s="1560"/>
      <c r="V40" s="1560"/>
      <c r="W40" s="1560"/>
      <c r="Y40" s="737"/>
      <c r="Z40" s="737"/>
    </row>
    <row r="41" spans="1:26" ht="14.1" customHeight="1">
      <c r="A41" s="1552">
        <v>38</v>
      </c>
      <c r="B41" s="1553"/>
      <c r="C41" s="1553"/>
      <c r="D41" s="1557">
        <f>$D$40</f>
        <v>2017</v>
      </c>
      <c r="E41" s="1557"/>
      <c r="F41" s="1557"/>
      <c r="G41" s="1557"/>
      <c r="H41" s="1557" t="s">
        <v>338</v>
      </c>
      <c r="I41" s="1557"/>
      <c r="J41" s="1557"/>
      <c r="K41" s="1557"/>
      <c r="L41" s="1557"/>
      <c r="M41" s="1557"/>
      <c r="N41" s="1557"/>
      <c r="O41" s="1557"/>
      <c r="P41" s="1558">
        <v>0</v>
      </c>
      <c r="Q41" s="1559"/>
      <c r="R41" s="1559"/>
      <c r="S41" s="1559"/>
      <c r="T41" s="1560">
        <f>ROUND(IPMT(($AA$3%+0.35%)/11,1,$D$171-$D$40+1,$P$172-(SUM($P$4:P40)))*-1,2)</f>
        <v>3168.99</v>
      </c>
      <c r="U41" s="1560"/>
      <c r="V41" s="1560"/>
      <c r="W41" s="1560"/>
      <c r="Y41" s="737"/>
      <c r="Z41" s="737"/>
    </row>
    <row r="42" spans="1:26" ht="14.1" customHeight="1">
      <c r="A42" s="1552">
        <v>39</v>
      </c>
      <c r="B42" s="1553"/>
      <c r="C42" s="1553"/>
      <c r="D42" s="1557">
        <f t="shared" ref="D42:D51" si="3">$D$40</f>
        <v>2017</v>
      </c>
      <c r="E42" s="1557"/>
      <c r="F42" s="1557"/>
      <c r="G42" s="1557"/>
      <c r="H42" s="1557" t="s">
        <v>339</v>
      </c>
      <c r="I42" s="1557"/>
      <c r="J42" s="1557"/>
      <c r="K42" s="1557"/>
      <c r="L42" s="1557"/>
      <c r="M42" s="1557"/>
      <c r="N42" s="1557"/>
      <c r="O42" s="1557"/>
      <c r="P42" s="1558">
        <v>0</v>
      </c>
      <c r="Q42" s="1559"/>
      <c r="R42" s="1559"/>
      <c r="S42" s="1559"/>
      <c r="T42" s="1560">
        <f>ROUND(IPMT(($AA$3%+0.35%)/11,1,$D$171-$D$40+1,$P$172-(SUM($P$4:P41)))*-1,2)</f>
        <v>3168.99</v>
      </c>
      <c r="U42" s="1560"/>
      <c r="V42" s="1560"/>
      <c r="W42" s="1560"/>
      <c r="Y42" s="737"/>
      <c r="Z42" s="737"/>
    </row>
    <row r="43" spans="1:26" ht="14.1" customHeight="1">
      <c r="A43" s="1552">
        <v>40</v>
      </c>
      <c r="B43" s="1553"/>
      <c r="C43" s="1553"/>
      <c r="D43" s="1557">
        <f t="shared" si="3"/>
        <v>2017</v>
      </c>
      <c r="E43" s="1557"/>
      <c r="F43" s="1557"/>
      <c r="G43" s="1557"/>
      <c r="H43" s="1557" t="s">
        <v>340</v>
      </c>
      <c r="I43" s="1557"/>
      <c r="J43" s="1557"/>
      <c r="K43" s="1557"/>
      <c r="L43" s="1557"/>
      <c r="M43" s="1557"/>
      <c r="N43" s="1557"/>
      <c r="O43" s="1557"/>
      <c r="P43" s="1558">
        <v>0</v>
      </c>
      <c r="Q43" s="1559"/>
      <c r="R43" s="1559"/>
      <c r="S43" s="1559"/>
      <c r="T43" s="1560">
        <f>ROUND(IPMT(($AA$3%+0.35%)/11,1,$D$171-$D$40+1,$P$172-(SUM($P$4:P42)))*-1,2)</f>
        <v>3168.99</v>
      </c>
      <c r="U43" s="1560"/>
      <c r="V43" s="1560"/>
      <c r="W43" s="1560"/>
      <c r="Y43" s="737"/>
      <c r="Z43" s="737"/>
    </row>
    <row r="44" spans="1:26" ht="14.1" customHeight="1">
      <c r="A44" s="1552">
        <v>41</v>
      </c>
      <c r="B44" s="1553"/>
      <c r="C44" s="1553"/>
      <c r="D44" s="1557">
        <f t="shared" si="3"/>
        <v>2017</v>
      </c>
      <c r="E44" s="1557"/>
      <c r="F44" s="1557"/>
      <c r="G44" s="1557"/>
      <c r="H44" s="1557" t="s">
        <v>341</v>
      </c>
      <c r="I44" s="1557"/>
      <c r="J44" s="1557"/>
      <c r="K44" s="1557"/>
      <c r="L44" s="1557"/>
      <c r="M44" s="1557"/>
      <c r="N44" s="1557"/>
      <c r="O44" s="1557"/>
      <c r="P44" s="1558">
        <v>0</v>
      </c>
      <c r="Q44" s="1559"/>
      <c r="R44" s="1559"/>
      <c r="S44" s="1559"/>
      <c r="T44" s="1560">
        <f>ROUND(IPMT(($AA$3%+0.35%)/11,1,$D$171-$D$40+1,$P$172-(SUM($P$4:P43)))*-1,2)</f>
        <v>3168.99</v>
      </c>
      <c r="U44" s="1560"/>
      <c r="V44" s="1560"/>
      <c r="W44" s="1560"/>
      <c r="Y44" s="737"/>
      <c r="Z44" s="737"/>
    </row>
    <row r="45" spans="1:26" ht="14.1" customHeight="1">
      <c r="A45" s="1552">
        <v>42</v>
      </c>
      <c r="B45" s="1553"/>
      <c r="C45" s="1553"/>
      <c r="D45" s="1557">
        <f t="shared" si="3"/>
        <v>2017</v>
      </c>
      <c r="E45" s="1557"/>
      <c r="F45" s="1557"/>
      <c r="G45" s="1557"/>
      <c r="H45" s="1557" t="s">
        <v>342</v>
      </c>
      <c r="I45" s="1557"/>
      <c r="J45" s="1557"/>
      <c r="K45" s="1557"/>
      <c r="L45" s="1557"/>
      <c r="M45" s="1557"/>
      <c r="N45" s="1557"/>
      <c r="O45" s="1557"/>
      <c r="P45" s="1558">
        <v>0</v>
      </c>
      <c r="Q45" s="1559"/>
      <c r="R45" s="1559"/>
      <c r="S45" s="1559"/>
      <c r="T45" s="1560">
        <f>ROUND(IPMT(($AA$3%+0.35%)/11,1,$D$171-$D$40+1,$P$172-(SUM($P$4:P44)))*-1,2)</f>
        <v>3168.99</v>
      </c>
      <c r="U45" s="1560"/>
      <c r="V45" s="1560"/>
      <c r="W45" s="1560"/>
      <c r="Y45" s="737"/>
      <c r="Z45" s="737"/>
    </row>
    <row r="46" spans="1:26" ht="14.1" customHeight="1">
      <c r="A46" s="1552">
        <v>43</v>
      </c>
      <c r="B46" s="1553"/>
      <c r="C46" s="1553"/>
      <c r="D46" s="1557">
        <f t="shared" si="3"/>
        <v>2017</v>
      </c>
      <c r="E46" s="1557"/>
      <c r="F46" s="1557"/>
      <c r="G46" s="1557"/>
      <c r="H46" s="1557" t="s">
        <v>343</v>
      </c>
      <c r="I46" s="1557"/>
      <c r="J46" s="1557"/>
      <c r="K46" s="1557"/>
      <c r="L46" s="1557"/>
      <c r="M46" s="1557"/>
      <c r="N46" s="1557"/>
      <c r="O46" s="1557"/>
      <c r="P46" s="1558">
        <v>0</v>
      </c>
      <c r="Q46" s="1559"/>
      <c r="R46" s="1559"/>
      <c r="S46" s="1559"/>
      <c r="T46" s="1560">
        <f>ROUND(IPMT(($AA$3%+0.35%)/11,1,$D$171-$D$40+1,$P$172-(SUM($P$4:P45)))*-1,2)</f>
        <v>3168.99</v>
      </c>
      <c r="U46" s="1560"/>
      <c r="V46" s="1560"/>
      <c r="W46" s="1560"/>
      <c r="Y46" s="737"/>
      <c r="Z46" s="737"/>
    </row>
    <row r="47" spans="1:26" ht="14.1" customHeight="1">
      <c r="A47" s="1552">
        <v>44</v>
      </c>
      <c r="B47" s="1553"/>
      <c r="C47" s="1553"/>
      <c r="D47" s="1557">
        <f t="shared" si="3"/>
        <v>2017</v>
      </c>
      <c r="E47" s="1557"/>
      <c r="F47" s="1557"/>
      <c r="G47" s="1557"/>
      <c r="H47" s="1557" t="s">
        <v>344</v>
      </c>
      <c r="I47" s="1557"/>
      <c r="J47" s="1557"/>
      <c r="K47" s="1557"/>
      <c r="L47" s="1557"/>
      <c r="M47" s="1557"/>
      <c r="N47" s="1557"/>
      <c r="O47" s="1557"/>
      <c r="P47" s="1558">
        <v>0</v>
      </c>
      <c r="Q47" s="1559"/>
      <c r="R47" s="1559"/>
      <c r="S47" s="1559"/>
      <c r="T47" s="1560">
        <f>ROUND(IPMT(($AA$3%+0.35%)/11,1,$D$171-$D$40+1,$P$172-(SUM($P$4:P46)))*-1,2)</f>
        <v>3168.99</v>
      </c>
      <c r="U47" s="1560"/>
      <c r="V47" s="1560"/>
      <c r="W47" s="1560"/>
      <c r="Y47" s="737"/>
      <c r="Z47" s="737"/>
    </row>
    <row r="48" spans="1:26" ht="14.1" customHeight="1">
      <c r="A48" s="1552">
        <v>45</v>
      </c>
      <c r="B48" s="1553"/>
      <c r="C48" s="1553"/>
      <c r="D48" s="1557">
        <f t="shared" si="3"/>
        <v>2017</v>
      </c>
      <c r="E48" s="1557"/>
      <c r="F48" s="1557"/>
      <c r="G48" s="1557"/>
      <c r="H48" s="1557" t="s">
        <v>345</v>
      </c>
      <c r="I48" s="1557"/>
      <c r="J48" s="1557"/>
      <c r="K48" s="1557"/>
      <c r="L48" s="1557"/>
      <c r="M48" s="1557"/>
      <c r="N48" s="1557"/>
      <c r="O48" s="1557"/>
      <c r="P48" s="1558">
        <v>0</v>
      </c>
      <c r="Q48" s="1559"/>
      <c r="R48" s="1559"/>
      <c r="S48" s="1559"/>
      <c r="T48" s="1560">
        <f>ROUND(IPMT(($AA$3%+0.35%)/11,1,$D$171-$D$40+1,$P$172-(SUM($P$4:P47)))*-1,2)</f>
        <v>3168.99</v>
      </c>
      <c r="U48" s="1560"/>
      <c r="V48" s="1560"/>
      <c r="W48" s="1560"/>
      <c r="Y48" s="737"/>
      <c r="Z48" s="737"/>
    </row>
    <row r="49" spans="1:26" ht="14.1" customHeight="1">
      <c r="A49" s="1552">
        <v>46</v>
      </c>
      <c r="B49" s="1553"/>
      <c r="C49" s="1553"/>
      <c r="D49" s="1557">
        <f t="shared" si="3"/>
        <v>2017</v>
      </c>
      <c r="E49" s="1557"/>
      <c r="F49" s="1557"/>
      <c r="G49" s="1557"/>
      <c r="H49" s="1557" t="s">
        <v>346</v>
      </c>
      <c r="I49" s="1557"/>
      <c r="J49" s="1557"/>
      <c r="K49" s="1557"/>
      <c r="L49" s="1557"/>
      <c r="M49" s="1557"/>
      <c r="N49" s="1557"/>
      <c r="O49" s="1557"/>
      <c r="P49" s="1558">
        <v>0</v>
      </c>
      <c r="Q49" s="1559"/>
      <c r="R49" s="1559"/>
      <c r="S49" s="1559"/>
      <c r="T49" s="1560">
        <f>ROUND(IPMT(($AA$3%+0.35%)/11,1,$D$171-$D$40+1,$P$172-(SUM($P$4:P48)))*-1,2)</f>
        <v>3168.99</v>
      </c>
      <c r="U49" s="1560"/>
      <c r="V49" s="1560"/>
      <c r="W49" s="1560"/>
      <c r="Y49" s="737"/>
      <c r="Z49" s="737"/>
    </row>
    <row r="50" spans="1:26" s="743" customFormat="1" ht="14.1" customHeight="1">
      <c r="A50" s="1576">
        <v>47</v>
      </c>
      <c r="B50" s="1577"/>
      <c r="C50" s="1577"/>
      <c r="D50" s="1578">
        <f t="shared" si="3"/>
        <v>2017</v>
      </c>
      <c r="E50" s="1578"/>
      <c r="F50" s="1578"/>
      <c r="G50" s="1578"/>
      <c r="H50" s="1578" t="s">
        <v>347</v>
      </c>
      <c r="I50" s="1578"/>
      <c r="J50" s="1578"/>
      <c r="K50" s="1578"/>
      <c r="L50" s="1578"/>
      <c r="M50" s="1578"/>
      <c r="N50" s="1578"/>
      <c r="O50" s="1578"/>
      <c r="P50" s="1579">
        <v>54552.29</v>
      </c>
      <c r="Q50" s="1580"/>
      <c r="R50" s="1580"/>
      <c r="S50" s="1580"/>
      <c r="T50" s="1581">
        <f>ROUND(IPMT(($AA$3%+0.35%)/11,1,$D$171-$D$40+1,$P$172-(SUM($P$4:P49)))*-1,2)</f>
        <v>3168.99</v>
      </c>
      <c r="U50" s="1581"/>
      <c r="V50" s="1581"/>
      <c r="W50" s="1581"/>
      <c r="Y50" s="744"/>
      <c r="Z50" s="744"/>
    </row>
    <row r="51" spans="1:26" ht="14.1" customHeight="1">
      <c r="A51" s="1552">
        <v>48</v>
      </c>
      <c r="B51" s="1553"/>
      <c r="C51" s="1553"/>
      <c r="D51" s="1557">
        <f t="shared" si="3"/>
        <v>2017</v>
      </c>
      <c r="E51" s="1557"/>
      <c r="F51" s="1557"/>
      <c r="G51" s="1557"/>
      <c r="H51" s="1557" t="s">
        <v>348</v>
      </c>
      <c r="I51" s="1557"/>
      <c r="J51" s="1557"/>
      <c r="K51" s="1557"/>
      <c r="L51" s="1557"/>
      <c r="M51" s="1557"/>
      <c r="N51" s="1557"/>
      <c r="O51" s="1557"/>
      <c r="P51" s="1558">
        <v>0</v>
      </c>
      <c r="Q51" s="1559"/>
      <c r="R51" s="1559"/>
      <c r="S51" s="1559"/>
      <c r="T51" s="1560">
        <f>ROUND(IPMT(($AA$3%+0.35%)/11,1,$D$171-$D$40+1,$P$172-(SUM($P$4:P50)))*-1,2)</f>
        <v>2816.88</v>
      </c>
      <c r="U51" s="1560"/>
      <c r="V51" s="1560"/>
      <c r="W51" s="1560"/>
      <c r="Y51" s="740">
        <f>SUM(T40:W51)</f>
        <v>37675.76999999999</v>
      </c>
    </row>
    <row r="52" spans="1:26" ht="14.1" customHeight="1">
      <c r="A52" s="1552">
        <v>49</v>
      </c>
      <c r="B52" s="1553"/>
      <c r="C52" s="1553"/>
      <c r="D52" s="1557">
        <f>D40+1</f>
        <v>2018</v>
      </c>
      <c r="E52" s="1557"/>
      <c r="F52" s="1557"/>
      <c r="G52" s="1557"/>
      <c r="H52" s="1557" t="s">
        <v>337</v>
      </c>
      <c r="I52" s="1557"/>
      <c r="J52" s="1557"/>
      <c r="K52" s="1557"/>
      <c r="L52" s="1557"/>
      <c r="M52" s="1557"/>
      <c r="N52" s="1557"/>
      <c r="O52" s="1557"/>
      <c r="P52" s="1558">
        <v>0</v>
      </c>
      <c r="Q52" s="1559"/>
      <c r="R52" s="1559"/>
      <c r="S52" s="1559"/>
      <c r="T52" s="1560">
        <f>ROUND(IPMT(($AA$3%+0.35%)/11,1,$D$171-$D$40+1,$P$172-(SUM($P$4:P51)))*-1,2)</f>
        <v>2816.88</v>
      </c>
      <c r="U52" s="1560"/>
      <c r="V52" s="1560"/>
      <c r="W52" s="1560"/>
      <c r="Y52" s="737"/>
      <c r="Z52" s="737"/>
    </row>
    <row r="53" spans="1:26" ht="14.1" customHeight="1">
      <c r="A53" s="1552">
        <v>50</v>
      </c>
      <c r="B53" s="1553"/>
      <c r="C53" s="1553"/>
      <c r="D53" s="1557">
        <f>$D$52</f>
        <v>2018</v>
      </c>
      <c r="E53" s="1557"/>
      <c r="F53" s="1557"/>
      <c r="G53" s="1557"/>
      <c r="H53" s="1557" t="s">
        <v>338</v>
      </c>
      <c r="I53" s="1557"/>
      <c r="J53" s="1557"/>
      <c r="K53" s="1557"/>
      <c r="L53" s="1557"/>
      <c r="M53" s="1557"/>
      <c r="N53" s="1557"/>
      <c r="O53" s="1557"/>
      <c r="P53" s="1558">
        <v>0</v>
      </c>
      <c r="Q53" s="1559"/>
      <c r="R53" s="1559"/>
      <c r="S53" s="1559"/>
      <c r="T53" s="1560">
        <f>ROUND(IPMT(($AA$3%+0.35%)/11,1,$D$171-$D$52+1,$P$172-(SUM($P$4:P52)))*-1,2)</f>
        <v>2816.88</v>
      </c>
      <c r="U53" s="1560"/>
      <c r="V53" s="1560"/>
      <c r="W53" s="1560"/>
      <c r="Y53" s="737"/>
      <c r="Z53" s="737"/>
    </row>
    <row r="54" spans="1:26" ht="14.1" customHeight="1">
      <c r="A54" s="1552">
        <v>51</v>
      </c>
      <c r="B54" s="1553"/>
      <c r="C54" s="1553"/>
      <c r="D54" s="1557">
        <f t="shared" ref="D54:D63" si="4">$D$52</f>
        <v>2018</v>
      </c>
      <c r="E54" s="1557"/>
      <c r="F54" s="1557"/>
      <c r="G54" s="1557"/>
      <c r="H54" s="1557" t="s">
        <v>339</v>
      </c>
      <c r="I54" s="1557"/>
      <c r="J54" s="1557"/>
      <c r="K54" s="1557"/>
      <c r="L54" s="1557"/>
      <c r="M54" s="1557"/>
      <c r="N54" s="1557"/>
      <c r="O54" s="1557"/>
      <c r="P54" s="1558">
        <v>0</v>
      </c>
      <c r="Q54" s="1559"/>
      <c r="R54" s="1559"/>
      <c r="S54" s="1559"/>
      <c r="T54" s="1560">
        <f>ROUND(IPMT(($AA$3%+0.35%)/11,1,$D$171-$D$52+1,$P$172-(SUM($P$4:P53)))*-1,2)</f>
        <v>2816.88</v>
      </c>
      <c r="U54" s="1560"/>
      <c r="V54" s="1560"/>
      <c r="W54" s="1560"/>
      <c r="Y54" s="737"/>
      <c r="Z54" s="737"/>
    </row>
    <row r="55" spans="1:26" ht="14.1" customHeight="1">
      <c r="A55" s="1552">
        <v>52</v>
      </c>
      <c r="B55" s="1553"/>
      <c r="C55" s="1553"/>
      <c r="D55" s="1557">
        <f t="shared" si="4"/>
        <v>2018</v>
      </c>
      <c r="E55" s="1557"/>
      <c r="F55" s="1557"/>
      <c r="G55" s="1557"/>
      <c r="H55" s="1557" t="s">
        <v>340</v>
      </c>
      <c r="I55" s="1557"/>
      <c r="J55" s="1557"/>
      <c r="K55" s="1557"/>
      <c r="L55" s="1557"/>
      <c r="M55" s="1557"/>
      <c r="N55" s="1557"/>
      <c r="O55" s="1557"/>
      <c r="P55" s="1558">
        <v>0</v>
      </c>
      <c r="Q55" s="1559"/>
      <c r="R55" s="1559"/>
      <c r="S55" s="1559"/>
      <c r="T55" s="1560">
        <f>ROUND(IPMT(($AA$3%+0.35%)/11,1,$D$171-$D$52+1,$P$172-(SUM($P$4:P54)))*-1,2)</f>
        <v>2816.88</v>
      </c>
      <c r="U55" s="1560"/>
      <c r="V55" s="1560"/>
      <c r="W55" s="1560"/>
      <c r="Y55" s="737"/>
      <c r="Z55" s="737"/>
    </row>
    <row r="56" spans="1:26" ht="14.1" customHeight="1">
      <c r="A56" s="1552">
        <v>53</v>
      </c>
      <c r="B56" s="1553"/>
      <c r="C56" s="1553"/>
      <c r="D56" s="1557">
        <f t="shared" si="4"/>
        <v>2018</v>
      </c>
      <c r="E56" s="1557"/>
      <c r="F56" s="1557"/>
      <c r="G56" s="1557"/>
      <c r="H56" s="1557" t="s">
        <v>341</v>
      </c>
      <c r="I56" s="1557"/>
      <c r="J56" s="1557"/>
      <c r="K56" s="1557"/>
      <c r="L56" s="1557"/>
      <c r="M56" s="1557"/>
      <c r="N56" s="1557"/>
      <c r="O56" s="1557"/>
      <c r="P56" s="1558">
        <v>0</v>
      </c>
      <c r="Q56" s="1559"/>
      <c r="R56" s="1559"/>
      <c r="S56" s="1559"/>
      <c r="T56" s="1560">
        <f>ROUND(IPMT(($AA$3%+0.35%)/11,1,$D$171-$D$52+1,$P$172-(SUM($P$4:P55)))*-1,2)</f>
        <v>2816.88</v>
      </c>
      <c r="U56" s="1560"/>
      <c r="V56" s="1560"/>
      <c r="W56" s="1560"/>
      <c r="Y56" s="737"/>
      <c r="Z56" s="737"/>
    </row>
    <row r="57" spans="1:26" ht="14.1" customHeight="1">
      <c r="A57" s="1552">
        <v>54</v>
      </c>
      <c r="B57" s="1553"/>
      <c r="C57" s="1553"/>
      <c r="D57" s="1557">
        <f t="shared" si="4"/>
        <v>2018</v>
      </c>
      <c r="E57" s="1557"/>
      <c r="F57" s="1557"/>
      <c r="G57" s="1557"/>
      <c r="H57" s="1557" t="s">
        <v>342</v>
      </c>
      <c r="I57" s="1557"/>
      <c r="J57" s="1557"/>
      <c r="K57" s="1557"/>
      <c r="L57" s="1557"/>
      <c r="M57" s="1557"/>
      <c r="N57" s="1557"/>
      <c r="O57" s="1557"/>
      <c r="P57" s="1558">
        <v>0</v>
      </c>
      <c r="Q57" s="1559"/>
      <c r="R57" s="1559"/>
      <c r="S57" s="1559"/>
      <c r="T57" s="1560">
        <f>ROUND(IPMT(($AA$3%+0.35%)/11,1,$D$171-$D$52+1,$P$172-(SUM($P$4:P56)))*-1,2)</f>
        <v>2816.88</v>
      </c>
      <c r="U57" s="1560"/>
      <c r="V57" s="1560"/>
      <c r="W57" s="1560"/>
      <c r="Y57" s="737"/>
      <c r="Z57" s="737"/>
    </row>
    <row r="58" spans="1:26" ht="14.1" customHeight="1">
      <c r="A58" s="1552">
        <v>55</v>
      </c>
      <c r="B58" s="1553"/>
      <c r="C58" s="1553"/>
      <c r="D58" s="1557">
        <f t="shared" si="4"/>
        <v>2018</v>
      </c>
      <c r="E58" s="1557"/>
      <c r="F58" s="1557"/>
      <c r="G58" s="1557"/>
      <c r="H58" s="1557" t="s">
        <v>343</v>
      </c>
      <c r="I58" s="1557"/>
      <c r="J58" s="1557"/>
      <c r="K58" s="1557"/>
      <c r="L58" s="1557"/>
      <c r="M58" s="1557"/>
      <c r="N58" s="1557"/>
      <c r="O58" s="1557"/>
      <c r="P58" s="1558">
        <v>0</v>
      </c>
      <c r="Q58" s="1559"/>
      <c r="R58" s="1559"/>
      <c r="S58" s="1559"/>
      <c r="T58" s="1560">
        <f>ROUND(IPMT(($AA$3%+0.35%)/11,1,$D$171-$D$52+1,$P$172-(SUM($P$4:P57)))*-1,2)</f>
        <v>2816.88</v>
      </c>
      <c r="U58" s="1560"/>
      <c r="V58" s="1560"/>
      <c r="W58" s="1560"/>
      <c r="Y58" s="737"/>
      <c r="Z58" s="737"/>
    </row>
    <row r="59" spans="1:26" ht="14.1" customHeight="1">
      <c r="A59" s="1552">
        <v>56</v>
      </c>
      <c r="B59" s="1553"/>
      <c r="C59" s="1553"/>
      <c r="D59" s="1557">
        <f t="shared" si="4"/>
        <v>2018</v>
      </c>
      <c r="E59" s="1557"/>
      <c r="F59" s="1557"/>
      <c r="G59" s="1557"/>
      <c r="H59" s="1557" t="s">
        <v>344</v>
      </c>
      <c r="I59" s="1557"/>
      <c r="J59" s="1557"/>
      <c r="K59" s="1557"/>
      <c r="L59" s="1557"/>
      <c r="M59" s="1557"/>
      <c r="N59" s="1557"/>
      <c r="O59" s="1557"/>
      <c r="P59" s="1558">
        <v>0</v>
      </c>
      <c r="Q59" s="1559"/>
      <c r="R59" s="1559"/>
      <c r="S59" s="1559"/>
      <c r="T59" s="1560">
        <f>ROUND(IPMT(($AA$3%+0.35%)/11,1,$D$171-$D$52+1,$P$172-(SUM($P$4:P58)))*-1,2)</f>
        <v>2816.88</v>
      </c>
      <c r="U59" s="1560"/>
      <c r="V59" s="1560"/>
      <c r="W59" s="1560"/>
      <c r="Y59" s="737"/>
      <c r="Z59" s="737"/>
    </row>
    <row r="60" spans="1:26" ht="14.1" customHeight="1">
      <c r="A60" s="1552">
        <v>57</v>
      </c>
      <c r="B60" s="1553"/>
      <c r="C60" s="1553"/>
      <c r="D60" s="1557">
        <f t="shared" si="4"/>
        <v>2018</v>
      </c>
      <c r="E60" s="1557"/>
      <c r="F60" s="1557"/>
      <c r="G60" s="1557"/>
      <c r="H60" s="1557" t="s">
        <v>345</v>
      </c>
      <c r="I60" s="1557"/>
      <c r="J60" s="1557"/>
      <c r="K60" s="1557"/>
      <c r="L60" s="1557"/>
      <c r="M60" s="1557"/>
      <c r="N60" s="1557"/>
      <c r="O60" s="1557"/>
      <c r="P60" s="1558">
        <v>0</v>
      </c>
      <c r="Q60" s="1559"/>
      <c r="R60" s="1559"/>
      <c r="S60" s="1559"/>
      <c r="T60" s="1560">
        <f>ROUND(IPMT(($AA$3%+0.35%)/11,1,$D$171-$D$52+1,$P$172-(SUM($P$4:P59)))*-1,2)</f>
        <v>2816.88</v>
      </c>
      <c r="U60" s="1560"/>
      <c r="V60" s="1560"/>
      <c r="W60" s="1560"/>
      <c r="Y60" s="737"/>
      <c r="Z60" s="737"/>
    </row>
    <row r="61" spans="1:26" ht="14.1" customHeight="1">
      <c r="A61" s="1552">
        <v>58</v>
      </c>
      <c r="B61" s="1553"/>
      <c r="C61" s="1553"/>
      <c r="D61" s="1557">
        <f t="shared" si="4"/>
        <v>2018</v>
      </c>
      <c r="E61" s="1557"/>
      <c r="F61" s="1557"/>
      <c r="G61" s="1557"/>
      <c r="H61" s="1557" t="s">
        <v>346</v>
      </c>
      <c r="I61" s="1557"/>
      <c r="J61" s="1557"/>
      <c r="K61" s="1557"/>
      <c r="L61" s="1557"/>
      <c r="M61" s="1557"/>
      <c r="N61" s="1557"/>
      <c r="O61" s="1557"/>
      <c r="P61" s="1558">
        <v>0</v>
      </c>
      <c r="Q61" s="1559"/>
      <c r="R61" s="1559"/>
      <c r="S61" s="1559"/>
      <c r="T61" s="1560">
        <f>ROUND(IPMT(($AA$3%+0.35%)/11,1,$D$171-$D$52+1,$P$172-(SUM($P$4:P60)))*-1,2)</f>
        <v>2816.88</v>
      </c>
      <c r="U61" s="1560"/>
      <c r="V61" s="1560"/>
      <c r="W61" s="1560"/>
      <c r="Y61" s="737"/>
      <c r="Z61" s="737"/>
    </row>
    <row r="62" spans="1:26" s="743" customFormat="1" ht="14.1" customHeight="1">
      <c r="A62" s="1576">
        <v>59</v>
      </c>
      <c r="B62" s="1577"/>
      <c r="C62" s="1577"/>
      <c r="D62" s="1578">
        <f t="shared" si="4"/>
        <v>2018</v>
      </c>
      <c r="E62" s="1578"/>
      <c r="F62" s="1578"/>
      <c r="G62" s="1578"/>
      <c r="H62" s="1578" t="s">
        <v>347</v>
      </c>
      <c r="I62" s="1578"/>
      <c r="J62" s="1578"/>
      <c r="K62" s="1578"/>
      <c r="L62" s="1578"/>
      <c r="M62" s="1578"/>
      <c r="N62" s="1578"/>
      <c r="O62" s="1578"/>
      <c r="P62" s="1579">
        <v>54552.29</v>
      </c>
      <c r="Q62" s="1580"/>
      <c r="R62" s="1580"/>
      <c r="S62" s="1580"/>
      <c r="T62" s="1581">
        <f>ROUND(IPMT(($AA$3%+0.35%)/11,1,$D$171-$D$52+1,$P$172-(SUM($P$4:P61)))*-1,2)</f>
        <v>2816.88</v>
      </c>
      <c r="U62" s="1581"/>
      <c r="V62" s="1581"/>
      <c r="W62" s="1581"/>
      <c r="Y62" s="744"/>
      <c r="Z62" s="744"/>
    </row>
    <row r="63" spans="1:26" ht="14.1" customHeight="1">
      <c r="A63" s="1552">
        <v>60</v>
      </c>
      <c r="B63" s="1553"/>
      <c r="C63" s="1553"/>
      <c r="D63" s="1557">
        <f t="shared" si="4"/>
        <v>2018</v>
      </c>
      <c r="E63" s="1557"/>
      <c r="F63" s="1557"/>
      <c r="G63" s="1557"/>
      <c r="H63" s="1557" t="s">
        <v>348</v>
      </c>
      <c r="I63" s="1557"/>
      <c r="J63" s="1557"/>
      <c r="K63" s="1557"/>
      <c r="L63" s="1557"/>
      <c r="M63" s="1557"/>
      <c r="N63" s="1557"/>
      <c r="O63" s="1557"/>
      <c r="P63" s="1558">
        <v>0</v>
      </c>
      <c r="Q63" s="1559"/>
      <c r="R63" s="1559"/>
      <c r="S63" s="1559"/>
      <c r="T63" s="1560">
        <f>ROUND(IPMT(($AA$3%+0.35%)/11,1,$D$171-$D$52+1,$P$172-(SUM($P$4:P62)))*-1,2)</f>
        <v>2464.77</v>
      </c>
      <c r="U63" s="1560"/>
      <c r="V63" s="1560"/>
      <c r="W63" s="1560"/>
      <c r="Y63" s="740">
        <f>SUM(T52:W63)</f>
        <v>33450.450000000004</v>
      </c>
    </row>
    <row r="64" spans="1:26" ht="14.1" customHeight="1">
      <c r="A64" s="1552">
        <v>13</v>
      </c>
      <c r="B64" s="1553"/>
      <c r="C64" s="1553"/>
      <c r="D64" s="1557">
        <f>D52+1</f>
        <v>2019</v>
      </c>
      <c r="E64" s="1557"/>
      <c r="F64" s="1557"/>
      <c r="G64" s="1557"/>
      <c r="H64" s="1557" t="s">
        <v>337</v>
      </c>
      <c r="I64" s="1557"/>
      <c r="J64" s="1557"/>
      <c r="K64" s="1557"/>
      <c r="L64" s="1557"/>
      <c r="M64" s="1557"/>
      <c r="N64" s="1557"/>
      <c r="O64" s="1557"/>
      <c r="P64" s="1558">
        <v>0</v>
      </c>
      <c r="Q64" s="1559"/>
      <c r="R64" s="1559"/>
      <c r="S64" s="1559"/>
      <c r="T64" s="1560">
        <f>ROUND(IPMT(($AA$3%+0.35%)/11,1,$D$171-$D$52+1,$P$172-(SUM($P$4:P63)))*-1,2)</f>
        <v>2464.77</v>
      </c>
      <c r="U64" s="1560"/>
      <c r="V64" s="1560"/>
      <c r="W64" s="1560"/>
      <c r="Y64" s="737"/>
      <c r="Z64" s="737"/>
    </row>
    <row r="65" spans="1:26" ht="14.1" customHeight="1">
      <c r="A65" s="1552">
        <v>14</v>
      </c>
      <c r="B65" s="1553"/>
      <c r="C65" s="1553"/>
      <c r="D65" s="1557">
        <f>$D$64</f>
        <v>2019</v>
      </c>
      <c r="E65" s="1557"/>
      <c r="F65" s="1557"/>
      <c r="G65" s="1557"/>
      <c r="H65" s="1557" t="s">
        <v>338</v>
      </c>
      <c r="I65" s="1557"/>
      <c r="J65" s="1557"/>
      <c r="K65" s="1557"/>
      <c r="L65" s="1557"/>
      <c r="M65" s="1557"/>
      <c r="N65" s="1557"/>
      <c r="O65" s="1557"/>
      <c r="P65" s="1558">
        <v>0</v>
      </c>
      <c r="Q65" s="1559"/>
      <c r="R65" s="1559"/>
      <c r="S65" s="1559"/>
      <c r="T65" s="1560">
        <f>ROUND(IPMT(($AA$3%+0.35%)/11,1,$D$171-$D$64+1,$P$172-(SUM($P$4:P64)))*-1,2)</f>
        <v>2464.77</v>
      </c>
      <c r="U65" s="1560"/>
      <c r="V65" s="1560"/>
      <c r="W65" s="1560"/>
      <c r="Y65" s="737"/>
      <c r="Z65" s="737"/>
    </row>
    <row r="66" spans="1:26" ht="14.1" customHeight="1">
      <c r="A66" s="1552">
        <v>15</v>
      </c>
      <c r="B66" s="1553"/>
      <c r="C66" s="1553"/>
      <c r="D66" s="1557">
        <f t="shared" ref="D66:D75" si="5">$D$64</f>
        <v>2019</v>
      </c>
      <c r="E66" s="1557"/>
      <c r="F66" s="1557"/>
      <c r="G66" s="1557"/>
      <c r="H66" s="1557" t="s">
        <v>339</v>
      </c>
      <c r="I66" s="1557"/>
      <c r="J66" s="1557"/>
      <c r="K66" s="1557"/>
      <c r="L66" s="1557"/>
      <c r="M66" s="1557"/>
      <c r="N66" s="1557"/>
      <c r="O66" s="1557"/>
      <c r="P66" s="1558">
        <v>0</v>
      </c>
      <c r="Q66" s="1559"/>
      <c r="R66" s="1559"/>
      <c r="S66" s="1559"/>
      <c r="T66" s="1560">
        <f>ROUND(IPMT(($AA$3%+0.35%)/11,1,$D$171-$D$64+1,$P$172-(SUM($P$4:P65)))*-1,2)</f>
        <v>2464.77</v>
      </c>
      <c r="U66" s="1560"/>
      <c r="V66" s="1560"/>
      <c r="W66" s="1560"/>
      <c r="Y66" s="737"/>
      <c r="Z66" s="737"/>
    </row>
    <row r="67" spans="1:26" ht="14.1" customHeight="1">
      <c r="A67" s="1552">
        <v>16</v>
      </c>
      <c r="B67" s="1553"/>
      <c r="C67" s="1553"/>
      <c r="D67" s="1557">
        <f t="shared" si="5"/>
        <v>2019</v>
      </c>
      <c r="E67" s="1557"/>
      <c r="F67" s="1557"/>
      <c r="G67" s="1557"/>
      <c r="H67" s="1557" t="s">
        <v>340</v>
      </c>
      <c r="I67" s="1557"/>
      <c r="J67" s="1557"/>
      <c r="K67" s="1557"/>
      <c r="L67" s="1557"/>
      <c r="M67" s="1557"/>
      <c r="N67" s="1557"/>
      <c r="O67" s="1557"/>
      <c r="P67" s="1558">
        <v>0</v>
      </c>
      <c r="Q67" s="1559"/>
      <c r="R67" s="1559"/>
      <c r="S67" s="1559"/>
      <c r="T67" s="1560">
        <f>ROUND(IPMT(($AA$3%+0.35%)/11,1,$D$171-$D$64+1,$P$172-(SUM($P$4:P66)))*-1,2)</f>
        <v>2464.77</v>
      </c>
      <c r="U67" s="1560"/>
      <c r="V67" s="1560"/>
      <c r="W67" s="1560"/>
      <c r="Y67" s="737"/>
      <c r="Z67" s="737"/>
    </row>
    <row r="68" spans="1:26" ht="14.1" customHeight="1">
      <c r="A68" s="1552">
        <v>17</v>
      </c>
      <c r="B68" s="1553"/>
      <c r="C68" s="1553"/>
      <c r="D68" s="1557">
        <f t="shared" si="5"/>
        <v>2019</v>
      </c>
      <c r="E68" s="1557"/>
      <c r="F68" s="1557"/>
      <c r="G68" s="1557"/>
      <c r="H68" s="1557" t="s">
        <v>341</v>
      </c>
      <c r="I68" s="1557"/>
      <c r="J68" s="1557"/>
      <c r="K68" s="1557"/>
      <c r="L68" s="1557"/>
      <c r="M68" s="1557"/>
      <c r="N68" s="1557"/>
      <c r="O68" s="1557"/>
      <c r="P68" s="1558">
        <v>0</v>
      </c>
      <c r="Q68" s="1559"/>
      <c r="R68" s="1559"/>
      <c r="S68" s="1559"/>
      <c r="T68" s="1560">
        <f>ROUND(IPMT(($AA$3%+0.35%)/11,1,$D$171-$D$64+1,$P$172-(SUM($P$4:P67)))*-1,2)</f>
        <v>2464.77</v>
      </c>
      <c r="U68" s="1560"/>
      <c r="V68" s="1560"/>
      <c r="W68" s="1560"/>
      <c r="Y68" s="737"/>
      <c r="Z68" s="737"/>
    </row>
    <row r="69" spans="1:26" ht="14.1" customHeight="1">
      <c r="A69" s="1552">
        <v>18</v>
      </c>
      <c r="B69" s="1553"/>
      <c r="C69" s="1553"/>
      <c r="D69" s="1557">
        <f t="shared" si="5"/>
        <v>2019</v>
      </c>
      <c r="E69" s="1557"/>
      <c r="F69" s="1557"/>
      <c r="G69" s="1557"/>
      <c r="H69" s="1557" t="s">
        <v>342</v>
      </c>
      <c r="I69" s="1557"/>
      <c r="J69" s="1557"/>
      <c r="K69" s="1557"/>
      <c r="L69" s="1557"/>
      <c r="M69" s="1557"/>
      <c r="N69" s="1557"/>
      <c r="O69" s="1557"/>
      <c r="P69" s="1558">
        <v>0</v>
      </c>
      <c r="Q69" s="1559"/>
      <c r="R69" s="1559"/>
      <c r="S69" s="1559"/>
      <c r="T69" s="1560">
        <f>ROUND(IPMT(($AA$3%+0.35%)/11,1,$D$171-$D$64+1,$P$172-(SUM($P$4:P68)))*-1,2)</f>
        <v>2464.77</v>
      </c>
      <c r="U69" s="1560"/>
      <c r="V69" s="1560"/>
      <c r="W69" s="1560"/>
      <c r="Y69" s="737"/>
      <c r="Z69" s="737"/>
    </row>
    <row r="70" spans="1:26" ht="14.1" customHeight="1">
      <c r="A70" s="1552">
        <v>19</v>
      </c>
      <c r="B70" s="1553"/>
      <c r="C70" s="1553"/>
      <c r="D70" s="1557">
        <f t="shared" si="5"/>
        <v>2019</v>
      </c>
      <c r="E70" s="1557"/>
      <c r="F70" s="1557"/>
      <c r="G70" s="1557"/>
      <c r="H70" s="1557" t="s">
        <v>343</v>
      </c>
      <c r="I70" s="1557"/>
      <c r="J70" s="1557"/>
      <c r="K70" s="1557"/>
      <c r="L70" s="1557"/>
      <c r="M70" s="1557"/>
      <c r="N70" s="1557"/>
      <c r="O70" s="1557"/>
      <c r="P70" s="1558">
        <v>0</v>
      </c>
      <c r="Q70" s="1559"/>
      <c r="R70" s="1559"/>
      <c r="S70" s="1559"/>
      <c r="T70" s="1560">
        <f>ROUND(IPMT(($AA$3%+0.35%)/11,1,$D$171-$D$64+1,$P$172-(SUM($P$4:P69)))*-1,2)</f>
        <v>2464.77</v>
      </c>
      <c r="U70" s="1560"/>
      <c r="V70" s="1560"/>
      <c r="W70" s="1560"/>
      <c r="Y70" s="737"/>
      <c r="Z70" s="737"/>
    </row>
    <row r="71" spans="1:26" ht="14.1" customHeight="1">
      <c r="A71" s="1552">
        <v>20</v>
      </c>
      <c r="B71" s="1553"/>
      <c r="C71" s="1553"/>
      <c r="D71" s="1557">
        <f t="shared" si="5"/>
        <v>2019</v>
      </c>
      <c r="E71" s="1557"/>
      <c r="F71" s="1557"/>
      <c r="G71" s="1557"/>
      <c r="H71" s="1557" t="s">
        <v>344</v>
      </c>
      <c r="I71" s="1557"/>
      <c r="J71" s="1557"/>
      <c r="K71" s="1557"/>
      <c r="L71" s="1557"/>
      <c r="M71" s="1557"/>
      <c r="N71" s="1557"/>
      <c r="O71" s="1557"/>
      <c r="P71" s="1558">
        <v>0</v>
      </c>
      <c r="Q71" s="1559"/>
      <c r="R71" s="1559"/>
      <c r="S71" s="1559"/>
      <c r="T71" s="1560">
        <f>ROUND(IPMT(($AA$3%+0.35%)/11,1,$D$171-$D$64+1,$P$172-(SUM($P$4:P70)))*-1,2)</f>
        <v>2464.77</v>
      </c>
      <c r="U71" s="1560"/>
      <c r="V71" s="1560"/>
      <c r="W71" s="1560"/>
      <c r="Y71" s="737"/>
      <c r="Z71" s="737"/>
    </row>
    <row r="72" spans="1:26" ht="14.1" customHeight="1">
      <c r="A72" s="1552">
        <v>21</v>
      </c>
      <c r="B72" s="1553"/>
      <c r="C72" s="1553"/>
      <c r="D72" s="1557">
        <f t="shared" si="5"/>
        <v>2019</v>
      </c>
      <c r="E72" s="1557"/>
      <c r="F72" s="1557"/>
      <c r="G72" s="1557"/>
      <c r="H72" s="1557" t="s">
        <v>345</v>
      </c>
      <c r="I72" s="1557"/>
      <c r="J72" s="1557"/>
      <c r="K72" s="1557"/>
      <c r="L72" s="1557"/>
      <c r="M72" s="1557"/>
      <c r="N72" s="1557"/>
      <c r="O72" s="1557"/>
      <c r="P72" s="1558">
        <v>0</v>
      </c>
      <c r="Q72" s="1559"/>
      <c r="R72" s="1559"/>
      <c r="S72" s="1559"/>
      <c r="T72" s="1560">
        <f>ROUND(IPMT(($AA$3%+0.35%)/11,1,$D$171-$D$64+1,$P$172-(SUM($P$4:P71)))*-1,2)</f>
        <v>2464.77</v>
      </c>
      <c r="U72" s="1560"/>
      <c r="V72" s="1560"/>
      <c r="W72" s="1560"/>
      <c r="Y72" s="737"/>
      <c r="Z72" s="737"/>
    </row>
    <row r="73" spans="1:26" ht="14.1" customHeight="1">
      <c r="A73" s="1552">
        <v>22</v>
      </c>
      <c r="B73" s="1553"/>
      <c r="C73" s="1553"/>
      <c r="D73" s="1557">
        <f t="shared" si="5"/>
        <v>2019</v>
      </c>
      <c r="E73" s="1557"/>
      <c r="F73" s="1557"/>
      <c r="G73" s="1557"/>
      <c r="H73" s="1557" t="s">
        <v>346</v>
      </c>
      <c r="I73" s="1557"/>
      <c r="J73" s="1557"/>
      <c r="K73" s="1557"/>
      <c r="L73" s="1557"/>
      <c r="M73" s="1557"/>
      <c r="N73" s="1557"/>
      <c r="O73" s="1557"/>
      <c r="P73" s="1558">
        <v>0</v>
      </c>
      <c r="Q73" s="1559"/>
      <c r="R73" s="1559"/>
      <c r="S73" s="1559"/>
      <c r="T73" s="1560">
        <f>ROUND(IPMT(($AA$3%+0.35%)/11,1,$D$171-$D$64+1,$P$172-(SUM($P$4:P72)))*-1,2)</f>
        <v>2464.77</v>
      </c>
      <c r="U73" s="1560"/>
      <c r="V73" s="1560"/>
      <c r="W73" s="1560"/>
      <c r="Y73" s="737"/>
      <c r="Z73" s="737"/>
    </row>
    <row r="74" spans="1:26" s="743" customFormat="1" ht="14.1" customHeight="1">
      <c r="A74" s="1576">
        <v>23</v>
      </c>
      <c r="B74" s="1577"/>
      <c r="C74" s="1577"/>
      <c r="D74" s="1578">
        <f t="shared" si="5"/>
        <v>2019</v>
      </c>
      <c r="E74" s="1578"/>
      <c r="F74" s="1578"/>
      <c r="G74" s="1578"/>
      <c r="H74" s="1578" t="s">
        <v>347</v>
      </c>
      <c r="I74" s="1578"/>
      <c r="J74" s="1578"/>
      <c r="K74" s="1578"/>
      <c r="L74" s="1578"/>
      <c r="M74" s="1578"/>
      <c r="N74" s="1578"/>
      <c r="O74" s="1578"/>
      <c r="P74" s="1579">
        <v>54552.29</v>
      </c>
      <c r="Q74" s="1580"/>
      <c r="R74" s="1580"/>
      <c r="S74" s="1580"/>
      <c r="T74" s="1581">
        <f>ROUND(IPMT(($AA$3%+0.35%)/11,1,$D$171-$D$64+1,$P$172-(SUM($P$4:P73)))*-1,2)</f>
        <v>2464.77</v>
      </c>
      <c r="U74" s="1581"/>
      <c r="V74" s="1581"/>
      <c r="W74" s="1581"/>
      <c r="Y74" s="744"/>
      <c r="Z74" s="744"/>
    </row>
    <row r="75" spans="1:26" ht="14.1" customHeight="1">
      <c r="A75" s="1552">
        <v>24</v>
      </c>
      <c r="B75" s="1553"/>
      <c r="C75" s="1553"/>
      <c r="D75" s="1557">
        <f t="shared" si="5"/>
        <v>2019</v>
      </c>
      <c r="E75" s="1557"/>
      <c r="F75" s="1557"/>
      <c r="G75" s="1557"/>
      <c r="H75" s="1557" t="s">
        <v>348</v>
      </c>
      <c r="I75" s="1557"/>
      <c r="J75" s="1557"/>
      <c r="K75" s="1557"/>
      <c r="L75" s="1557"/>
      <c r="M75" s="1557"/>
      <c r="N75" s="1557"/>
      <c r="O75" s="1557"/>
      <c r="P75" s="1558">
        <v>0</v>
      </c>
      <c r="Q75" s="1559"/>
      <c r="R75" s="1559"/>
      <c r="S75" s="1559"/>
      <c r="T75" s="1560">
        <f>ROUND(IPMT(($AA$3%+0.35%)/11,1,$D$171-$D$64+1,$P$172-(SUM($P$4:P74)))*-1,2)</f>
        <v>2112.66</v>
      </c>
      <c r="U75" s="1560"/>
      <c r="V75" s="1560"/>
      <c r="W75" s="1560"/>
      <c r="Y75" s="740">
        <f>SUM(T64:W75)</f>
        <v>29225.13</v>
      </c>
    </row>
    <row r="76" spans="1:26" ht="14.1" customHeight="1">
      <c r="A76" s="1552">
        <v>13</v>
      </c>
      <c r="B76" s="1553"/>
      <c r="C76" s="1553"/>
      <c r="D76" s="1557">
        <f>D64+1</f>
        <v>2020</v>
      </c>
      <c r="E76" s="1557"/>
      <c r="F76" s="1557"/>
      <c r="G76" s="1557"/>
      <c r="H76" s="1557" t="s">
        <v>337</v>
      </c>
      <c r="I76" s="1557"/>
      <c r="J76" s="1557"/>
      <c r="K76" s="1557"/>
      <c r="L76" s="1557"/>
      <c r="M76" s="1557"/>
      <c r="N76" s="1557"/>
      <c r="O76" s="1557"/>
      <c r="P76" s="1558">
        <v>0</v>
      </c>
      <c r="Q76" s="1559"/>
      <c r="R76" s="1559"/>
      <c r="S76" s="1559"/>
      <c r="T76" s="1560">
        <f>ROUND(IPMT(($AA$3%+0.35%)/11,1,$D$171-$D$64+1,$P$172-(SUM($P$4:P75)))*-1,2)</f>
        <v>2112.66</v>
      </c>
      <c r="U76" s="1560"/>
      <c r="V76" s="1560"/>
      <c r="W76" s="1560"/>
      <c r="Y76" s="737"/>
      <c r="Z76" s="737"/>
    </row>
    <row r="77" spans="1:26" ht="14.1" customHeight="1">
      <c r="A77" s="1552">
        <v>14</v>
      </c>
      <c r="B77" s="1553"/>
      <c r="C77" s="1553"/>
      <c r="D77" s="1557">
        <f>$D$76</f>
        <v>2020</v>
      </c>
      <c r="E77" s="1557"/>
      <c r="F77" s="1557"/>
      <c r="G77" s="1557"/>
      <c r="H77" s="1557" t="s">
        <v>338</v>
      </c>
      <c r="I77" s="1557"/>
      <c r="J77" s="1557"/>
      <c r="K77" s="1557"/>
      <c r="L77" s="1557"/>
      <c r="M77" s="1557"/>
      <c r="N77" s="1557"/>
      <c r="O77" s="1557"/>
      <c r="P77" s="1558">
        <v>0</v>
      </c>
      <c r="Q77" s="1559"/>
      <c r="R77" s="1559"/>
      <c r="S77" s="1559"/>
      <c r="T77" s="1560">
        <f>ROUND(IPMT(($AA$3%+0.35%)/11,1,$D$171-$D$76+1,$P$172-(SUM($P$4:P76)))*-1,2)</f>
        <v>2112.66</v>
      </c>
      <c r="U77" s="1560"/>
      <c r="V77" s="1560"/>
      <c r="W77" s="1560"/>
      <c r="Y77" s="737"/>
      <c r="Z77" s="737"/>
    </row>
    <row r="78" spans="1:26" ht="14.1" customHeight="1">
      <c r="A78" s="1552">
        <v>15</v>
      </c>
      <c r="B78" s="1553"/>
      <c r="C78" s="1553"/>
      <c r="D78" s="1557">
        <f t="shared" ref="D78:D87" si="6">$D$76</f>
        <v>2020</v>
      </c>
      <c r="E78" s="1557"/>
      <c r="F78" s="1557"/>
      <c r="G78" s="1557"/>
      <c r="H78" s="1557" t="s">
        <v>339</v>
      </c>
      <c r="I78" s="1557"/>
      <c r="J78" s="1557"/>
      <c r="K78" s="1557"/>
      <c r="L78" s="1557"/>
      <c r="M78" s="1557"/>
      <c r="N78" s="1557"/>
      <c r="O78" s="1557"/>
      <c r="P78" s="1558">
        <v>0</v>
      </c>
      <c r="Q78" s="1559"/>
      <c r="R78" s="1559"/>
      <c r="S78" s="1559"/>
      <c r="T78" s="1560">
        <f>ROUND(IPMT(($AA$3%+0.35%)/11,1,$D$171-$D$76+1,$P$172-(SUM($P$4:P77)))*-1,2)</f>
        <v>2112.66</v>
      </c>
      <c r="U78" s="1560"/>
      <c r="V78" s="1560"/>
      <c r="W78" s="1560"/>
      <c r="Y78" s="737"/>
      <c r="Z78" s="737"/>
    </row>
    <row r="79" spans="1:26" ht="14.1" customHeight="1">
      <c r="A79" s="1552">
        <v>16</v>
      </c>
      <c r="B79" s="1553"/>
      <c r="C79" s="1553"/>
      <c r="D79" s="1557">
        <f t="shared" si="6"/>
        <v>2020</v>
      </c>
      <c r="E79" s="1557"/>
      <c r="F79" s="1557"/>
      <c r="G79" s="1557"/>
      <c r="H79" s="1557" t="s">
        <v>340</v>
      </c>
      <c r="I79" s="1557"/>
      <c r="J79" s="1557"/>
      <c r="K79" s="1557"/>
      <c r="L79" s="1557"/>
      <c r="M79" s="1557"/>
      <c r="N79" s="1557"/>
      <c r="O79" s="1557"/>
      <c r="P79" s="1558">
        <v>0</v>
      </c>
      <c r="Q79" s="1559"/>
      <c r="R79" s="1559"/>
      <c r="S79" s="1559"/>
      <c r="T79" s="1560">
        <f>ROUND(IPMT(($AA$3%+0.35%)/11,1,$D$171-$D$76+1,$P$172-(SUM($P$4:P78)))*-1,2)</f>
        <v>2112.66</v>
      </c>
      <c r="U79" s="1560"/>
      <c r="V79" s="1560"/>
      <c r="W79" s="1560"/>
      <c r="Y79" s="737"/>
      <c r="Z79" s="737"/>
    </row>
    <row r="80" spans="1:26" ht="14.1" customHeight="1">
      <c r="A80" s="1552">
        <v>17</v>
      </c>
      <c r="B80" s="1553"/>
      <c r="C80" s="1553"/>
      <c r="D80" s="1557">
        <f t="shared" si="6"/>
        <v>2020</v>
      </c>
      <c r="E80" s="1557"/>
      <c r="F80" s="1557"/>
      <c r="G80" s="1557"/>
      <c r="H80" s="1557" t="s">
        <v>341</v>
      </c>
      <c r="I80" s="1557"/>
      <c r="J80" s="1557"/>
      <c r="K80" s="1557"/>
      <c r="L80" s="1557"/>
      <c r="M80" s="1557"/>
      <c r="N80" s="1557"/>
      <c r="O80" s="1557"/>
      <c r="P80" s="1558">
        <v>0</v>
      </c>
      <c r="Q80" s="1559"/>
      <c r="R80" s="1559"/>
      <c r="S80" s="1559"/>
      <c r="T80" s="1560">
        <f>ROUND(IPMT(($AA$3%+0.35%)/11,1,$D$171-$D$76+1,$P$172-(SUM($P$4:P79)))*-1,2)</f>
        <v>2112.66</v>
      </c>
      <c r="U80" s="1560"/>
      <c r="V80" s="1560"/>
      <c r="W80" s="1560"/>
      <c r="Y80" s="737"/>
      <c r="Z80" s="737"/>
    </row>
    <row r="81" spans="1:26" ht="14.1" customHeight="1">
      <c r="A81" s="1552">
        <v>18</v>
      </c>
      <c r="B81" s="1553"/>
      <c r="C81" s="1553"/>
      <c r="D81" s="1557">
        <f t="shared" si="6"/>
        <v>2020</v>
      </c>
      <c r="E81" s="1557"/>
      <c r="F81" s="1557"/>
      <c r="G81" s="1557"/>
      <c r="H81" s="1557" t="s">
        <v>342</v>
      </c>
      <c r="I81" s="1557"/>
      <c r="J81" s="1557"/>
      <c r="K81" s="1557"/>
      <c r="L81" s="1557"/>
      <c r="M81" s="1557"/>
      <c r="N81" s="1557"/>
      <c r="O81" s="1557"/>
      <c r="P81" s="1558">
        <v>0</v>
      </c>
      <c r="Q81" s="1559"/>
      <c r="R81" s="1559"/>
      <c r="S81" s="1559"/>
      <c r="T81" s="1560">
        <f>ROUND(IPMT(($AA$3%+0.35%)/11,1,$D$171-$D$76+1,$P$172-(SUM($P$4:P80)))*-1,2)</f>
        <v>2112.66</v>
      </c>
      <c r="U81" s="1560"/>
      <c r="V81" s="1560"/>
      <c r="W81" s="1560"/>
      <c r="Y81" s="737"/>
      <c r="Z81" s="737"/>
    </row>
    <row r="82" spans="1:26" ht="14.1" customHeight="1">
      <c r="A82" s="1552">
        <v>19</v>
      </c>
      <c r="B82" s="1553"/>
      <c r="C82" s="1553"/>
      <c r="D82" s="1557">
        <f t="shared" si="6"/>
        <v>2020</v>
      </c>
      <c r="E82" s="1557"/>
      <c r="F82" s="1557"/>
      <c r="G82" s="1557"/>
      <c r="H82" s="1557" t="s">
        <v>343</v>
      </c>
      <c r="I82" s="1557"/>
      <c r="J82" s="1557"/>
      <c r="K82" s="1557"/>
      <c r="L82" s="1557"/>
      <c r="M82" s="1557"/>
      <c r="N82" s="1557"/>
      <c r="O82" s="1557"/>
      <c r="P82" s="1558">
        <v>0</v>
      </c>
      <c r="Q82" s="1559"/>
      <c r="R82" s="1559"/>
      <c r="S82" s="1559"/>
      <c r="T82" s="1560">
        <f>ROUND(IPMT(($AA$3%+0.35%)/11,1,$D$171-$D$76+1,$P$172-(SUM($P$4:P81)))*-1,2)</f>
        <v>2112.66</v>
      </c>
      <c r="U82" s="1560"/>
      <c r="V82" s="1560"/>
      <c r="W82" s="1560"/>
      <c r="Y82" s="737"/>
      <c r="Z82" s="737"/>
    </row>
    <row r="83" spans="1:26" ht="14.1" customHeight="1">
      <c r="A83" s="1552">
        <v>20</v>
      </c>
      <c r="B83" s="1553"/>
      <c r="C83" s="1553"/>
      <c r="D83" s="1557">
        <f t="shared" si="6"/>
        <v>2020</v>
      </c>
      <c r="E83" s="1557"/>
      <c r="F83" s="1557"/>
      <c r="G83" s="1557"/>
      <c r="H83" s="1557" t="s">
        <v>344</v>
      </c>
      <c r="I83" s="1557"/>
      <c r="J83" s="1557"/>
      <c r="K83" s="1557"/>
      <c r="L83" s="1557"/>
      <c r="M83" s="1557"/>
      <c r="N83" s="1557"/>
      <c r="O83" s="1557"/>
      <c r="P83" s="1558">
        <v>0</v>
      </c>
      <c r="Q83" s="1559"/>
      <c r="R83" s="1559"/>
      <c r="S83" s="1559"/>
      <c r="T83" s="1560">
        <f>ROUND(IPMT(($AA$3%+0.35%)/11,1,$D$171-$D$76+1,$P$172-(SUM($P$4:P82)))*-1,2)</f>
        <v>2112.66</v>
      </c>
      <c r="U83" s="1560"/>
      <c r="V83" s="1560"/>
      <c r="W83" s="1560"/>
      <c r="Y83" s="737"/>
      <c r="Z83" s="737"/>
    </row>
    <row r="84" spans="1:26" ht="14.1" customHeight="1">
      <c r="A84" s="1552">
        <v>21</v>
      </c>
      <c r="B84" s="1553"/>
      <c r="C84" s="1553"/>
      <c r="D84" s="1557">
        <f t="shared" si="6"/>
        <v>2020</v>
      </c>
      <c r="E84" s="1557"/>
      <c r="F84" s="1557"/>
      <c r="G84" s="1557"/>
      <c r="H84" s="1557" t="s">
        <v>345</v>
      </c>
      <c r="I84" s="1557"/>
      <c r="J84" s="1557"/>
      <c r="K84" s="1557"/>
      <c r="L84" s="1557"/>
      <c r="M84" s="1557"/>
      <c r="N84" s="1557"/>
      <c r="O84" s="1557"/>
      <c r="P84" s="1558">
        <v>0</v>
      </c>
      <c r="Q84" s="1559"/>
      <c r="R84" s="1559"/>
      <c r="S84" s="1559"/>
      <c r="T84" s="1560">
        <f>ROUND(IPMT(($AA$3%+0.35%)/11,1,$D$171-$D$76+1,$P$172-(SUM($P$4:P83)))*-1,2)</f>
        <v>2112.66</v>
      </c>
      <c r="U84" s="1560"/>
      <c r="V84" s="1560"/>
      <c r="W84" s="1560"/>
      <c r="Y84" s="737"/>
      <c r="Z84" s="737"/>
    </row>
    <row r="85" spans="1:26" ht="14.1" customHeight="1">
      <c r="A85" s="1552">
        <v>22</v>
      </c>
      <c r="B85" s="1553"/>
      <c r="C85" s="1553"/>
      <c r="D85" s="1557">
        <f t="shared" si="6"/>
        <v>2020</v>
      </c>
      <c r="E85" s="1557"/>
      <c r="F85" s="1557"/>
      <c r="G85" s="1557"/>
      <c r="H85" s="1557" t="s">
        <v>346</v>
      </c>
      <c r="I85" s="1557"/>
      <c r="J85" s="1557"/>
      <c r="K85" s="1557"/>
      <c r="L85" s="1557"/>
      <c r="M85" s="1557"/>
      <c r="N85" s="1557"/>
      <c r="O85" s="1557"/>
      <c r="P85" s="1558">
        <v>0</v>
      </c>
      <c r="Q85" s="1559"/>
      <c r="R85" s="1559"/>
      <c r="S85" s="1559"/>
      <c r="T85" s="1560">
        <f>ROUND(IPMT(($AA$3%+0.35%)/11,1,$D$171-$D$76+1,$P$172-(SUM($P$4:P84)))*-1,2)</f>
        <v>2112.66</v>
      </c>
      <c r="U85" s="1560"/>
      <c r="V85" s="1560"/>
      <c r="W85" s="1560"/>
      <c r="Y85" s="737"/>
      <c r="Z85" s="737"/>
    </row>
    <row r="86" spans="1:26" s="743" customFormat="1" ht="14.1" customHeight="1">
      <c r="A86" s="1576">
        <v>23</v>
      </c>
      <c r="B86" s="1577"/>
      <c r="C86" s="1577"/>
      <c r="D86" s="1578">
        <f t="shared" si="6"/>
        <v>2020</v>
      </c>
      <c r="E86" s="1578"/>
      <c r="F86" s="1578"/>
      <c r="G86" s="1578"/>
      <c r="H86" s="1578" t="s">
        <v>347</v>
      </c>
      <c r="I86" s="1578"/>
      <c r="J86" s="1578"/>
      <c r="K86" s="1578"/>
      <c r="L86" s="1578"/>
      <c r="M86" s="1578"/>
      <c r="N86" s="1578"/>
      <c r="O86" s="1578"/>
      <c r="P86" s="1579">
        <v>54552.29</v>
      </c>
      <c r="Q86" s="1580"/>
      <c r="R86" s="1580"/>
      <c r="S86" s="1580"/>
      <c r="T86" s="1581">
        <f>ROUND(IPMT(($AA$3%+0.35%)/11,1,$D$171-$D$76+1,$P$172-(SUM($P$4:P85)))*-1,2)</f>
        <v>2112.66</v>
      </c>
      <c r="U86" s="1581"/>
      <c r="V86" s="1581"/>
      <c r="W86" s="1581"/>
      <c r="Y86" s="744"/>
      <c r="Z86" s="744"/>
    </row>
    <row r="87" spans="1:26" ht="14.1" customHeight="1">
      <c r="A87" s="1552">
        <v>24</v>
      </c>
      <c r="B87" s="1553"/>
      <c r="C87" s="1553"/>
      <c r="D87" s="1557">
        <f t="shared" si="6"/>
        <v>2020</v>
      </c>
      <c r="E87" s="1557"/>
      <c r="F87" s="1557"/>
      <c r="G87" s="1557"/>
      <c r="H87" s="1557" t="s">
        <v>348</v>
      </c>
      <c r="I87" s="1557"/>
      <c r="J87" s="1557"/>
      <c r="K87" s="1557"/>
      <c r="L87" s="1557"/>
      <c r="M87" s="1557"/>
      <c r="N87" s="1557"/>
      <c r="O87" s="1557"/>
      <c r="P87" s="1558">
        <v>0</v>
      </c>
      <c r="Q87" s="1559"/>
      <c r="R87" s="1559"/>
      <c r="S87" s="1559"/>
      <c r="T87" s="1560">
        <f>ROUND(IPMT(($AA$3%+0.35%)/11,1,$D$171-$D$76+1,$P$172-(SUM($P$4:P86)))*-1,2)</f>
        <v>1760.55</v>
      </c>
      <c r="U87" s="1560"/>
      <c r="V87" s="1560"/>
      <c r="W87" s="1560"/>
      <c r="Y87" s="740">
        <f>SUM(T76:W87)</f>
        <v>24999.809999999998</v>
      </c>
    </row>
    <row r="88" spans="1:26" ht="14.1" customHeight="1">
      <c r="A88" s="1552">
        <v>13</v>
      </c>
      <c r="B88" s="1553"/>
      <c r="C88" s="1553"/>
      <c r="D88" s="1557">
        <f>D76+1</f>
        <v>2021</v>
      </c>
      <c r="E88" s="1557"/>
      <c r="F88" s="1557"/>
      <c r="G88" s="1557"/>
      <c r="H88" s="1557" t="s">
        <v>337</v>
      </c>
      <c r="I88" s="1557"/>
      <c r="J88" s="1557"/>
      <c r="K88" s="1557"/>
      <c r="L88" s="1557"/>
      <c r="M88" s="1557"/>
      <c r="N88" s="1557"/>
      <c r="O88" s="1557"/>
      <c r="P88" s="1558">
        <v>0</v>
      </c>
      <c r="Q88" s="1559"/>
      <c r="R88" s="1559"/>
      <c r="S88" s="1559"/>
      <c r="T88" s="1560">
        <f>ROUND(IPMT(($AA$3%+0.35%)/11,1,$D$171-$D$76+1,$P$172-(SUM($P$4:P87)))*-1,2)</f>
        <v>1760.55</v>
      </c>
      <c r="U88" s="1560"/>
      <c r="V88" s="1560"/>
      <c r="W88" s="1560"/>
      <c r="Y88" s="737"/>
      <c r="Z88" s="737"/>
    </row>
    <row r="89" spans="1:26" ht="14.1" customHeight="1">
      <c r="A89" s="1552">
        <v>14</v>
      </c>
      <c r="B89" s="1553"/>
      <c r="C89" s="1553"/>
      <c r="D89" s="1557">
        <f>$D$88</f>
        <v>2021</v>
      </c>
      <c r="E89" s="1557"/>
      <c r="F89" s="1557"/>
      <c r="G89" s="1557"/>
      <c r="H89" s="1557" t="s">
        <v>338</v>
      </c>
      <c r="I89" s="1557"/>
      <c r="J89" s="1557"/>
      <c r="K89" s="1557"/>
      <c r="L89" s="1557"/>
      <c r="M89" s="1557"/>
      <c r="N89" s="1557"/>
      <c r="O89" s="1557"/>
      <c r="P89" s="1558">
        <v>0</v>
      </c>
      <c r="Q89" s="1559"/>
      <c r="R89" s="1559"/>
      <c r="S89" s="1559"/>
      <c r="T89" s="1560">
        <f>ROUND(IPMT(($AA$3%+0.35%)/11,1,$D$171-$D$88+1,$P$172-(SUM($P$4:P88)))*-1,2)</f>
        <v>1760.55</v>
      </c>
      <c r="U89" s="1560"/>
      <c r="V89" s="1560"/>
      <c r="W89" s="1560"/>
      <c r="Y89" s="737"/>
      <c r="Z89" s="737"/>
    </row>
    <row r="90" spans="1:26" ht="14.1" customHeight="1">
      <c r="A90" s="1552">
        <v>15</v>
      </c>
      <c r="B90" s="1553"/>
      <c r="C90" s="1553"/>
      <c r="D90" s="1557">
        <f t="shared" ref="D90:D99" si="7">$D$88</f>
        <v>2021</v>
      </c>
      <c r="E90" s="1557"/>
      <c r="F90" s="1557"/>
      <c r="G90" s="1557"/>
      <c r="H90" s="1557" t="s">
        <v>339</v>
      </c>
      <c r="I90" s="1557"/>
      <c r="J90" s="1557"/>
      <c r="K90" s="1557"/>
      <c r="L90" s="1557"/>
      <c r="M90" s="1557"/>
      <c r="N90" s="1557"/>
      <c r="O90" s="1557"/>
      <c r="P90" s="1558">
        <v>0</v>
      </c>
      <c r="Q90" s="1559"/>
      <c r="R90" s="1559"/>
      <c r="S90" s="1559"/>
      <c r="T90" s="1560">
        <f>ROUND(IPMT(($AA$3%+0.35%)/11,1,$D$171-$D$88+1,$P$172-(SUM($P$4:P89)))*-1,2)</f>
        <v>1760.55</v>
      </c>
      <c r="U90" s="1560"/>
      <c r="V90" s="1560"/>
      <c r="W90" s="1560"/>
      <c r="Y90" s="737"/>
      <c r="Z90" s="737"/>
    </row>
    <row r="91" spans="1:26" ht="14.1" customHeight="1">
      <c r="A91" s="1552">
        <v>16</v>
      </c>
      <c r="B91" s="1553"/>
      <c r="C91" s="1553"/>
      <c r="D91" s="1557">
        <f t="shared" si="7"/>
        <v>2021</v>
      </c>
      <c r="E91" s="1557"/>
      <c r="F91" s="1557"/>
      <c r="G91" s="1557"/>
      <c r="H91" s="1557" t="s">
        <v>340</v>
      </c>
      <c r="I91" s="1557"/>
      <c r="J91" s="1557"/>
      <c r="K91" s="1557"/>
      <c r="L91" s="1557"/>
      <c r="M91" s="1557"/>
      <c r="N91" s="1557"/>
      <c r="O91" s="1557"/>
      <c r="P91" s="1558">
        <v>0</v>
      </c>
      <c r="Q91" s="1559"/>
      <c r="R91" s="1559"/>
      <c r="S91" s="1559"/>
      <c r="T91" s="1560">
        <f>ROUND(IPMT(($AA$3%+0.35%)/11,1,$D$171-$D$88+1,$P$172-(SUM($P$4:P90)))*-1,2)</f>
        <v>1760.55</v>
      </c>
      <c r="U91" s="1560"/>
      <c r="V91" s="1560"/>
      <c r="W91" s="1560"/>
      <c r="Y91" s="737"/>
      <c r="Z91" s="737"/>
    </row>
    <row r="92" spans="1:26" ht="14.1" customHeight="1">
      <c r="A92" s="1552">
        <v>17</v>
      </c>
      <c r="B92" s="1553"/>
      <c r="C92" s="1553"/>
      <c r="D92" s="1557">
        <f t="shared" si="7"/>
        <v>2021</v>
      </c>
      <c r="E92" s="1557"/>
      <c r="F92" s="1557"/>
      <c r="G92" s="1557"/>
      <c r="H92" s="1557" t="s">
        <v>341</v>
      </c>
      <c r="I92" s="1557"/>
      <c r="J92" s="1557"/>
      <c r="K92" s="1557"/>
      <c r="L92" s="1557"/>
      <c r="M92" s="1557"/>
      <c r="N92" s="1557"/>
      <c r="O92" s="1557"/>
      <c r="P92" s="1558">
        <v>0</v>
      </c>
      <c r="Q92" s="1559"/>
      <c r="R92" s="1559"/>
      <c r="S92" s="1559"/>
      <c r="T92" s="1560">
        <f>ROUND(IPMT(($AA$3%+0.35%)/11,1,$D$171-$D$88+1,$P$172-(SUM($P$4:P91)))*-1,2)</f>
        <v>1760.55</v>
      </c>
      <c r="U92" s="1560"/>
      <c r="V92" s="1560"/>
      <c r="W92" s="1560"/>
      <c r="Y92" s="737"/>
      <c r="Z92" s="737"/>
    </row>
    <row r="93" spans="1:26" ht="14.1" customHeight="1">
      <c r="A93" s="1552">
        <v>18</v>
      </c>
      <c r="B93" s="1553"/>
      <c r="C93" s="1553"/>
      <c r="D93" s="1557">
        <f t="shared" si="7"/>
        <v>2021</v>
      </c>
      <c r="E93" s="1557"/>
      <c r="F93" s="1557"/>
      <c r="G93" s="1557"/>
      <c r="H93" s="1557" t="s">
        <v>342</v>
      </c>
      <c r="I93" s="1557"/>
      <c r="J93" s="1557"/>
      <c r="K93" s="1557"/>
      <c r="L93" s="1557"/>
      <c r="M93" s="1557"/>
      <c r="N93" s="1557"/>
      <c r="O93" s="1557"/>
      <c r="P93" s="1558">
        <v>0</v>
      </c>
      <c r="Q93" s="1559"/>
      <c r="R93" s="1559"/>
      <c r="S93" s="1559"/>
      <c r="T93" s="1560">
        <f>ROUND(IPMT(($AA$3%+0.35%)/11,1,$D$171-$D$88+1,$P$172-(SUM($P$4:P92)))*-1,2)</f>
        <v>1760.55</v>
      </c>
      <c r="U93" s="1560"/>
      <c r="V93" s="1560"/>
      <c r="W93" s="1560"/>
      <c r="Y93" s="737"/>
      <c r="Z93" s="737"/>
    </row>
    <row r="94" spans="1:26" ht="14.1" customHeight="1">
      <c r="A94" s="1552">
        <v>19</v>
      </c>
      <c r="B94" s="1553"/>
      <c r="C94" s="1553"/>
      <c r="D94" s="1557">
        <f t="shared" si="7"/>
        <v>2021</v>
      </c>
      <c r="E94" s="1557"/>
      <c r="F94" s="1557"/>
      <c r="G94" s="1557"/>
      <c r="H94" s="1557" t="s">
        <v>343</v>
      </c>
      <c r="I94" s="1557"/>
      <c r="J94" s="1557"/>
      <c r="K94" s="1557"/>
      <c r="L94" s="1557"/>
      <c r="M94" s="1557"/>
      <c r="N94" s="1557"/>
      <c r="O94" s="1557"/>
      <c r="P94" s="1558">
        <v>0</v>
      </c>
      <c r="Q94" s="1559"/>
      <c r="R94" s="1559"/>
      <c r="S94" s="1559"/>
      <c r="T94" s="1560">
        <f>ROUND(IPMT(($AA$3%+0.35%)/11,1,$D$171-$D$88+1,$P$172-(SUM($P$4:P93)))*-1,2)</f>
        <v>1760.55</v>
      </c>
      <c r="U94" s="1560"/>
      <c r="V94" s="1560"/>
      <c r="W94" s="1560"/>
      <c r="Y94" s="737"/>
      <c r="Z94" s="737"/>
    </row>
    <row r="95" spans="1:26" ht="14.1" customHeight="1">
      <c r="A95" s="1552">
        <v>20</v>
      </c>
      <c r="B95" s="1553"/>
      <c r="C95" s="1553"/>
      <c r="D95" s="1557">
        <f t="shared" si="7"/>
        <v>2021</v>
      </c>
      <c r="E95" s="1557"/>
      <c r="F95" s="1557"/>
      <c r="G95" s="1557"/>
      <c r="H95" s="1557" t="s">
        <v>344</v>
      </c>
      <c r="I95" s="1557"/>
      <c r="J95" s="1557"/>
      <c r="K95" s="1557"/>
      <c r="L95" s="1557"/>
      <c r="M95" s="1557"/>
      <c r="N95" s="1557"/>
      <c r="O95" s="1557"/>
      <c r="P95" s="1558">
        <v>0</v>
      </c>
      <c r="Q95" s="1559"/>
      <c r="R95" s="1559"/>
      <c r="S95" s="1559"/>
      <c r="T95" s="1560">
        <f>ROUND(IPMT(($AA$3%+0.35%)/11,1,$D$171-$D$88+1,$P$172-(SUM($P$4:P94)))*-1,2)</f>
        <v>1760.55</v>
      </c>
      <c r="U95" s="1560"/>
      <c r="V95" s="1560"/>
      <c r="W95" s="1560"/>
      <c r="Y95" s="737"/>
      <c r="Z95" s="737"/>
    </row>
    <row r="96" spans="1:26" ht="14.1" customHeight="1">
      <c r="A96" s="1552">
        <v>21</v>
      </c>
      <c r="B96" s="1553"/>
      <c r="C96" s="1553"/>
      <c r="D96" s="1557">
        <f t="shared" si="7"/>
        <v>2021</v>
      </c>
      <c r="E96" s="1557"/>
      <c r="F96" s="1557"/>
      <c r="G96" s="1557"/>
      <c r="H96" s="1557" t="s">
        <v>345</v>
      </c>
      <c r="I96" s="1557"/>
      <c r="J96" s="1557"/>
      <c r="K96" s="1557"/>
      <c r="L96" s="1557"/>
      <c r="M96" s="1557"/>
      <c r="N96" s="1557"/>
      <c r="O96" s="1557"/>
      <c r="P96" s="1558">
        <v>0</v>
      </c>
      <c r="Q96" s="1559"/>
      <c r="R96" s="1559"/>
      <c r="S96" s="1559"/>
      <c r="T96" s="1560">
        <f>ROUND(IPMT(($AA$3%+0.35%)/11,1,$D$171-$D$88+1,$P$172-(SUM($P$4:P95)))*-1,2)</f>
        <v>1760.55</v>
      </c>
      <c r="U96" s="1560"/>
      <c r="V96" s="1560"/>
      <c r="W96" s="1560"/>
      <c r="Y96" s="737"/>
      <c r="Z96" s="737"/>
    </row>
    <row r="97" spans="1:26" ht="14.1" customHeight="1">
      <c r="A97" s="1552">
        <v>22</v>
      </c>
      <c r="B97" s="1553"/>
      <c r="C97" s="1553"/>
      <c r="D97" s="1557">
        <f t="shared" si="7"/>
        <v>2021</v>
      </c>
      <c r="E97" s="1557"/>
      <c r="F97" s="1557"/>
      <c r="G97" s="1557"/>
      <c r="H97" s="1557" t="s">
        <v>346</v>
      </c>
      <c r="I97" s="1557"/>
      <c r="J97" s="1557"/>
      <c r="K97" s="1557"/>
      <c r="L97" s="1557"/>
      <c r="M97" s="1557"/>
      <c r="N97" s="1557"/>
      <c r="O97" s="1557"/>
      <c r="P97" s="1558">
        <v>0</v>
      </c>
      <c r="Q97" s="1559"/>
      <c r="R97" s="1559"/>
      <c r="S97" s="1559"/>
      <c r="T97" s="1560">
        <f>ROUND(IPMT(($AA$3%+0.35%)/11,1,$D$171-$D$88+1,$P$172-(SUM($P$4:P96)))*-1,2)</f>
        <v>1760.55</v>
      </c>
      <c r="U97" s="1560"/>
      <c r="V97" s="1560"/>
      <c r="W97" s="1560"/>
      <c r="Y97" s="737"/>
      <c r="Z97" s="737"/>
    </row>
    <row r="98" spans="1:26" s="743" customFormat="1" ht="14.1" customHeight="1">
      <c r="A98" s="1576">
        <v>23</v>
      </c>
      <c r="B98" s="1577"/>
      <c r="C98" s="1577"/>
      <c r="D98" s="1578">
        <f t="shared" si="7"/>
        <v>2021</v>
      </c>
      <c r="E98" s="1578"/>
      <c r="F98" s="1578"/>
      <c r="G98" s="1578"/>
      <c r="H98" s="1578" t="s">
        <v>347</v>
      </c>
      <c r="I98" s="1578"/>
      <c r="J98" s="1578"/>
      <c r="K98" s="1578"/>
      <c r="L98" s="1578"/>
      <c r="M98" s="1578"/>
      <c r="N98" s="1578"/>
      <c r="O98" s="1578"/>
      <c r="P98" s="1579">
        <v>54552.29</v>
      </c>
      <c r="Q98" s="1580"/>
      <c r="R98" s="1580"/>
      <c r="S98" s="1580"/>
      <c r="T98" s="1581">
        <f>ROUND(IPMT(($AA$3%+0.35%)/11,1,$D$171-$D$88+1,$P$172-(SUM($P$4:P97)))*-1,2)</f>
        <v>1760.55</v>
      </c>
      <c r="U98" s="1581"/>
      <c r="V98" s="1581"/>
      <c r="W98" s="1581"/>
      <c r="Y98" s="744"/>
      <c r="Z98" s="744"/>
    </row>
    <row r="99" spans="1:26" ht="14.1" customHeight="1">
      <c r="A99" s="1552">
        <v>24</v>
      </c>
      <c r="B99" s="1553"/>
      <c r="C99" s="1553"/>
      <c r="D99" s="1557">
        <f t="shared" si="7"/>
        <v>2021</v>
      </c>
      <c r="E99" s="1557"/>
      <c r="F99" s="1557"/>
      <c r="G99" s="1557"/>
      <c r="H99" s="1557" t="s">
        <v>348</v>
      </c>
      <c r="I99" s="1557"/>
      <c r="J99" s="1557"/>
      <c r="K99" s="1557"/>
      <c r="L99" s="1557"/>
      <c r="M99" s="1557"/>
      <c r="N99" s="1557"/>
      <c r="O99" s="1557"/>
      <c r="P99" s="1558">
        <v>0</v>
      </c>
      <c r="Q99" s="1559"/>
      <c r="R99" s="1559"/>
      <c r="S99" s="1559"/>
      <c r="T99" s="1560">
        <f>ROUND(IPMT(($AA$3%+0.35%)/11,1,$D$171-$D$88+1,$P$172-(SUM($P$4:P98)))*-1,2)</f>
        <v>1408.44</v>
      </c>
      <c r="U99" s="1560"/>
      <c r="V99" s="1560"/>
      <c r="W99" s="1560"/>
      <c r="Y99" s="740">
        <f>SUM(T88:W99)</f>
        <v>20774.489999999994</v>
      </c>
    </row>
    <row r="100" spans="1:26" ht="14.1" customHeight="1">
      <c r="A100" s="1552">
        <v>61</v>
      </c>
      <c r="B100" s="1553"/>
      <c r="C100" s="1553"/>
      <c r="D100" s="1557">
        <f>D99+1</f>
        <v>2022</v>
      </c>
      <c r="E100" s="1557"/>
      <c r="F100" s="1557"/>
      <c r="G100" s="1557"/>
      <c r="H100" s="1557" t="s">
        <v>337</v>
      </c>
      <c r="I100" s="1557"/>
      <c r="J100" s="1557"/>
      <c r="K100" s="1557"/>
      <c r="L100" s="1557"/>
      <c r="M100" s="1557"/>
      <c r="N100" s="1557"/>
      <c r="O100" s="1557"/>
      <c r="P100" s="1558">
        <v>0</v>
      </c>
      <c r="Q100" s="1559"/>
      <c r="R100" s="1559"/>
      <c r="S100" s="1559"/>
      <c r="T100" s="1560">
        <f>ROUND(IPMT(($AA$3%+0.35%)/11,1,$D$171-$D$88+1,$P$172-(SUM($P$4:P99)))*-1,2)</f>
        <v>1408.44</v>
      </c>
      <c r="U100" s="1560"/>
      <c r="V100" s="1560"/>
      <c r="W100" s="1560"/>
      <c r="Y100" s="739"/>
      <c r="Z100" s="737"/>
    </row>
    <row r="101" spans="1:26" ht="14.1" customHeight="1">
      <c r="A101" s="1552">
        <v>62</v>
      </c>
      <c r="B101" s="1553"/>
      <c r="C101" s="1553"/>
      <c r="D101" s="1557">
        <f>$D$100</f>
        <v>2022</v>
      </c>
      <c r="E101" s="1557"/>
      <c r="F101" s="1557"/>
      <c r="G101" s="1557"/>
      <c r="H101" s="1557" t="s">
        <v>338</v>
      </c>
      <c r="I101" s="1557"/>
      <c r="J101" s="1557"/>
      <c r="K101" s="1557"/>
      <c r="L101" s="1557"/>
      <c r="M101" s="1557"/>
      <c r="N101" s="1557"/>
      <c r="O101" s="1557"/>
      <c r="P101" s="1558">
        <v>0</v>
      </c>
      <c r="Q101" s="1559"/>
      <c r="R101" s="1559"/>
      <c r="S101" s="1559"/>
      <c r="T101" s="1560">
        <f>ROUND(IPMT(($AA$3%+0.35%)/11,1,$D$171-$D$160+1,$P$172-(SUM($P$4:P100)))*-1,2)</f>
        <v>1408.44</v>
      </c>
      <c r="U101" s="1560"/>
      <c r="V101" s="1560"/>
      <c r="W101" s="1560"/>
      <c r="Y101" s="739"/>
      <c r="Z101" s="737"/>
    </row>
    <row r="102" spans="1:26" ht="14.1" customHeight="1">
      <c r="A102" s="1552">
        <v>63</v>
      </c>
      <c r="B102" s="1553"/>
      <c r="C102" s="1553"/>
      <c r="D102" s="1557">
        <f t="shared" ref="D102:D111" si="8">$D$100</f>
        <v>2022</v>
      </c>
      <c r="E102" s="1557"/>
      <c r="F102" s="1557"/>
      <c r="G102" s="1557"/>
      <c r="H102" s="1557" t="s">
        <v>339</v>
      </c>
      <c r="I102" s="1557"/>
      <c r="J102" s="1557"/>
      <c r="K102" s="1557"/>
      <c r="L102" s="1557"/>
      <c r="M102" s="1557"/>
      <c r="N102" s="1557"/>
      <c r="O102" s="1557"/>
      <c r="P102" s="1558">
        <v>0</v>
      </c>
      <c r="Q102" s="1559"/>
      <c r="R102" s="1559"/>
      <c r="S102" s="1559"/>
      <c r="T102" s="1560">
        <f>ROUND(IPMT(($AA$3%+0.35%)/11,1,$D$171-$D$160+1,$P$172-(SUM($P$4:P101)))*-1,2)</f>
        <v>1408.44</v>
      </c>
      <c r="U102" s="1560"/>
      <c r="V102" s="1560"/>
      <c r="W102" s="1560"/>
      <c r="Y102" s="739"/>
      <c r="Z102" s="737"/>
    </row>
    <row r="103" spans="1:26" ht="14.1" customHeight="1">
      <c r="A103" s="1552">
        <v>64</v>
      </c>
      <c r="B103" s="1553"/>
      <c r="C103" s="1553"/>
      <c r="D103" s="1557">
        <f t="shared" si="8"/>
        <v>2022</v>
      </c>
      <c r="E103" s="1557"/>
      <c r="F103" s="1557"/>
      <c r="G103" s="1557"/>
      <c r="H103" s="1557" t="s">
        <v>340</v>
      </c>
      <c r="I103" s="1557"/>
      <c r="J103" s="1557"/>
      <c r="K103" s="1557"/>
      <c r="L103" s="1557"/>
      <c r="M103" s="1557"/>
      <c r="N103" s="1557"/>
      <c r="O103" s="1557"/>
      <c r="P103" s="1558">
        <v>0</v>
      </c>
      <c r="Q103" s="1559"/>
      <c r="R103" s="1559"/>
      <c r="S103" s="1559"/>
      <c r="T103" s="1560">
        <f>ROUND(IPMT(($AA$3%+0.35%)/11,1,$D$171-$D$160+1,$P$172-(SUM($P$4:P102)))*-1,2)</f>
        <v>1408.44</v>
      </c>
      <c r="U103" s="1560"/>
      <c r="V103" s="1560"/>
      <c r="W103" s="1560"/>
      <c r="Y103" s="739"/>
      <c r="Z103" s="737"/>
    </row>
    <row r="104" spans="1:26" ht="14.1" customHeight="1">
      <c r="A104" s="1552">
        <v>65</v>
      </c>
      <c r="B104" s="1553"/>
      <c r="C104" s="1553"/>
      <c r="D104" s="1557">
        <f t="shared" si="8"/>
        <v>2022</v>
      </c>
      <c r="E104" s="1557"/>
      <c r="F104" s="1557"/>
      <c r="G104" s="1557"/>
      <c r="H104" s="1557" t="s">
        <v>341</v>
      </c>
      <c r="I104" s="1557"/>
      <c r="J104" s="1557"/>
      <c r="K104" s="1557"/>
      <c r="L104" s="1557"/>
      <c r="M104" s="1557"/>
      <c r="N104" s="1557"/>
      <c r="O104" s="1557"/>
      <c r="P104" s="1558">
        <v>0</v>
      </c>
      <c r="Q104" s="1559"/>
      <c r="R104" s="1559"/>
      <c r="S104" s="1559"/>
      <c r="T104" s="1560">
        <f>ROUND(IPMT(($AA$3%+0.35%)/11,1,$D$171-$D$160+1,$P$172-(SUM($P$4:P103)))*-1,2)</f>
        <v>1408.44</v>
      </c>
      <c r="U104" s="1560"/>
      <c r="V104" s="1560"/>
      <c r="W104" s="1560"/>
      <c r="Y104" s="739"/>
      <c r="Z104" s="737"/>
    </row>
    <row r="105" spans="1:26" ht="14.1" customHeight="1">
      <c r="A105" s="1552">
        <v>66</v>
      </c>
      <c r="B105" s="1553"/>
      <c r="C105" s="1553"/>
      <c r="D105" s="1557">
        <f t="shared" si="8"/>
        <v>2022</v>
      </c>
      <c r="E105" s="1557"/>
      <c r="F105" s="1557"/>
      <c r="G105" s="1557"/>
      <c r="H105" s="1557" t="s">
        <v>342</v>
      </c>
      <c r="I105" s="1557"/>
      <c r="J105" s="1557"/>
      <c r="K105" s="1557"/>
      <c r="L105" s="1557"/>
      <c r="M105" s="1557"/>
      <c r="N105" s="1557"/>
      <c r="O105" s="1557"/>
      <c r="P105" s="1558">
        <v>0</v>
      </c>
      <c r="Q105" s="1559"/>
      <c r="R105" s="1559"/>
      <c r="S105" s="1559"/>
      <c r="T105" s="1560">
        <f>ROUND(IPMT(($AA$3%+0.35%)/11,1,$D$171-$D$160+1,$P$172-(SUM($P$4:P104)))*-1,2)</f>
        <v>1408.44</v>
      </c>
      <c r="U105" s="1560"/>
      <c r="V105" s="1560"/>
      <c r="W105" s="1560"/>
      <c r="Y105" s="739"/>
      <c r="Z105" s="737"/>
    </row>
    <row r="106" spans="1:26" ht="14.1" customHeight="1">
      <c r="A106" s="1552">
        <v>67</v>
      </c>
      <c r="B106" s="1553"/>
      <c r="C106" s="1553"/>
      <c r="D106" s="1557">
        <f t="shared" si="8"/>
        <v>2022</v>
      </c>
      <c r="E106" s="1557"/>
      <c r="F106" s="1557"/>
      <c r="G106" s="1557"/>
      <c r="H106" s="1557" t="s">
        <v>343</v>
      </c>
      <c r="I106" s="1557"/>
      <c r="J106" s="1557"/>
      <c r="K106" s="1557"/>
      <c r="L106" s="1557"/>
      <c r="M106" s="1557"/>
      <c r="N106" s="1557"/>
      <c r="O106" s="1557"/>
      <c r="P106" s="1558">
        <v>0</v>
      </c>
      <c r="Q106" s="1559"/>
      <c r="R106" s="1559"/>
      <c r="S106" s="1559"/>
      <c r="T106" s="1560">
        <f>ROUND(IPMT(($AA$3%+0.35%)/11,1,$D$171-$D$160+1,$P$172-(SUM($P$4:P105)))*-1,2)</f>
        <v>1408.44</v>
      </c>
      <c r="U106" s="1560"/>
      <c r="V106" s="1560"/>
      <c r="W106" s="1560"/>
      <c r="Y106" s="739"/>
      <c r="Z106" s="737"/>
    </row>
    <row r="107" spans="1:26" ht="14.1" customHeight="1">
      <c r="A107" s="1552">
        <v>68</v>
      </c>
      <c r="B107" s="1553"/>
      <c r="C107" s="1553"/>
      <c r="D107" s="1557">
        <f t="shared" si="8"/>
        <v>2022</v>
      </c>
      <c r="E107" s="1557"/>
      <c r="F107" s="1557"/>
      <c r="G107" s="1557"/>
      <c r="H107" s="1557" t="s">
        <v>344</v>
      </c>
      <c r="I107" s="1557"/>
      <c r="J107" s="1557"/>
      <c r="K107" s="1557"/>
      <c r="L107" s="1557"/>
      <c r="M107" s="1557"/>
      <c r="N107" s="1557"/>
      <c r="O107" s="1557"/>
      <c r="P107" s="1558">
        <v>0</v>
      </c>
      <c r="Q107" s="1559"/>
      <c r="R107" s="1559"/>
      <c r="S107" s="1559"/>
      <c r="T107" s="1560">
        <f>ROUND(IPMT(($AA$3%+0.35%)/11,1,$D$171-$D$160+1,$P$172-(SUM($P$4:P106)))*-1,2)</f>
        <v>1408.44</v>
      </c>
      <c r="U107" s="1560"/>
      <c r="V107" s="1560"/>
      <c r="W107" s="1560"/>
      <c r="Y107" s="739"/>
      <c r="Z107" s="737"/>
    </row>
    <row r="108" spans="1:26" ht="14.1" customHeight="1">
      <c r="A108" s="1552">
        <v>69</v>
      </c>
      <c r="B108" s="1553"/>
      <c r="C108" s="1553"/>
      <c r="D108" s="1557">
        <f t="shared" si="8"/>
        <v>2022</v>
      </c>
      <c r="E108" s="1557"/>
      <c r="F108" s="1557"/>
      <c r="G108" s="1557"/>
      <c r="H108" s="1557" t="s">
        <v>345</v>
      </c>
      <c r="I108" s="1557"/>
      <c r="J108" s="1557"/>
      <c r="K108" s="1557"/>
      <c r="L108" s="1557"/>
      <c r="M108" s="1557"/>
      <c r="N108" s="1557"/>
      <c r="O108" s="1557"/>
      <c r="P108" s="1558">
        <v>0</v>
      </c>
      <c r="Q108" s="1559"/>
      <c r="R108" s="1559"/>
      <c r="S108" s="1559"/>
      <c r="T108" s="1560">
        <f>ROUND(IPMT(($AA$3%+0.35%)/11,1,$D$171-$D$160+1,$P$172-(SUM($P$4:P107)))*-1,2)</f>
        <v>1408.44</v>
      </c>
      <c r="U108" s="1560"/>
      <c r="V108" s="1560"/>
      <c r="W108" s="1560"/>
      <c r="Y108" s="739"/>
      <c r="Z108" s="737"/>
    </row>
    <row r="109" spans="1:26" ht="14.1" customHeight="1">
      <c r="A109" s="1552">
        <v>70</v>
      </c>
      <c r="B109" s="1553"/>
      <c r="C109" s="1553"/>
      <c r="D109" s="1557">
        <f t="shared" si="8"/>
        <v>2022</v>
      </c>
      <c r="E109" s="1557"/>
      <c r="F109" s="1557"/>
      <c r="G109" s="1557"/>
      <c r="H109" s="1557" t="s">
        <v>346</v>
      </c>
      <c r="I109" s="1557"/>
      <c r="J109" s="1557"/>
      <c r="K109" s="1557"/>
      <c r="L109" s="1557"/>
      <c r="M109" s="1557"/>
      <c r="N109" s="1557"/>
      <c r="O109" s="1557"/>
      <c r="P109" s="1558">
        <v>0</v>
      </c>
      <c r="Q109" s="1559"/>
      <c r="R109" s="1559"/>
      <c r="S109" s="1559"/>
      <c r="T109" s="1560">
        <f>ROUND(IPMT(($AA$3%+0.35%)/11,1,$D$171-$D$160+1,$P$172-(SUM($P$4:P108)))*-1,2)</f>
        <v>1408.44</v>
      </c>
      <c r="U109" s="1560"/>
      <c r="V109" s="1560"/>
      <c r="W109" s="1560"/>
      <c r="Y109" s="739"/>
      <c r="Z109" s="737"/>
    </row>
    <row r="110" spans="1:26" s="743" customFormat="1" ht="14.1" customHeight="1">
      <c r="A110" s="1576">
        <v>71</v>
      </c>
      <c r="B110" s="1577"/>
      <c r="C110" s="1577"/>
      <c r="D110" s="1578">
        <f t="shared" si="8"/>
        <v>2022</v>
      </c>
      <c r="E110" s="1578"/>
      <c r="F110" s="1578"/>
      <c r="G110" s="1578"/>
      <c r="H110" s="1578" t="s">
        <v>347</v>
      </c>
      <c r="I110" s="1578"/>
      <c r="J110" s="1578"/>
      <c r="K110" s="1578"/>
      <c r="L110" s="1578"/>
      <c r="M110" s="1578"/>
      <c r="N110" s="1578"/>
      <c r="O110" s="1578"/>
      <c r="P110" s="1579">
        <v>54552.29</v>
      </c>
      <c r="Q110" s="1580"/>
      <c r="R110" s="1580"/>
      <c r="S110" s="1580"/>
      <c r="T110" s="1581">
        <f>ROUND(IPMT(($AA$3%+0.35%)/11,1,$D$171-$D$160+1,$P$172-(SUM($P$4:P109)))*-1,2)</f>
        <v>1408.44</v>
      </c>
      <c r="U110" s="1581"/>
      <c r="V110" s="1581"/>
      <c r="W110" s="1581"/>
      <c r="Y110" s="745"/>
      <c r="Z110" s="744"/>
    </row>
    <row r="111" spans="1:26" ht="14.1" customHeight="1">
      <c r="A111" s="1570">
        <v>72</v>
      </c>
      <c r="B111" s="1571"/>
      <c r="C111" s="1571"/>
      <c r="D111" s="1557">
        <f t="shared" si="8"/>
        <v>2022</v>
      </c>
      <c r="E111" s="1557"/>
      <c r="F111" s="1557"/>
      <c r="G111" s="1557"/>
      <c r="H111" s="1572" t="s">
        <v>348</v>
      </c>
      <c r="I111" s="1572"/>
      <c r="J111" s="1572"/>
      <c r="K111" s="1572"/>
      <c r="L111" s="1572"/>
      <c r="M111" s="1572"/>
      <c r="N111" s="1572"/>
      <c r="O111" s="1572"/>
      <c r="P111" s="1573">
        <v>0</v>
      </c>
      <c r="Q111" s="1574"/>
      <c r="R111" s="1574"/>
      <c r="S111" s="1574"/>
      <c r="T111" s="1575">
        <f>ROUND(IPMT(($AA$3%+0.35%)/11,1,$D$171-$D$160+1,$P$172-(SUM($P$4:P110)))*-1,2)</f>
        <v>1056.33</v>
      </c>
      <c r="U111" s="1575"/>
      <c r="V111" s="1575"/>
      <c r="W111" s="1575"/>
      <c r="Y111" s="740">
        <f>SUM(T100:W111)</f>
        <v>16549.170000000006</v>
      </c>
      <c r="Z111" s="737"/>
    </row>
    <row r="112" spans="1:26" ht="14.1" customHeight="1">
      <c r="A112" s="1552">
        <v>61</v>
      </c>
      <c r="B112" s="1553"/>
      <c r="C112" s="1553"/>
      <c r="D112" s="1557">
        <f>D111+1</f>
        <v>2023</v>
      </c>
      <c r="E112" s="1557"/>
      <c r="F112" s="1557"/>
      <c r="G112" s="1557"/>
      <c r="H112" s="1557" t="s">
        <v>337</v>
      </c>
      <c r="I112" s="1557"/>
      <c r="J112" s="1557"/>
      <c r="K112" s="1557"/>
      <c r="L112" s="1557"/>
      <c r="M112" s="1557"/>
      <c r="N112" s="1557"/>
      <c r="O112" s="1557"/>
      <c r="P112" s="1558">
        <v>0</v>
      </c>
      <c r="Q112" s="1559"/>
      <c r="R112" s="1559"/>
      <c r="S112" s="1559"/>
      <c r="T112" s="1560">
        <f>ROUND(IPMT(($AA$3%+0.35%)/11,1,$D$171-$D$100+1,$P$172-(SUM($P$4:P111)))*-1,2)</f>
        <v>1056.33</v>
      </c>
      <c r="U112" s="1560"/>
      <c r="V112" s="1560"/>
      <c r="W112" s="1560"/>
      <c r="Y112" s="739"/>
      <c r="Z112" s="737"/>
    </row>
    <row r="113" spans="1:26" ht="14.1" customHeight="1">
      <c r="A113" s="1552">
        <v>62</v>
      </c>
      <c r="B113" s="1553"/>
      <c r="C113" s="1553"/>
      <c r="D113" s="1557">
        <f>$D$112</f>
        <v>2023</v>
      </c>
      <c r="E113" s="1557"/>
      <c r="F113" s="1557"/>
      <c r="G113" s="1557"/>
      <c r="H113" s="1557" t="s">
        <v>338</v>
      </c>
      <c r="I113" s="1557"/>
      <c r="J113" s="1557"/>
      <c r="K113" s="1557"/>
      <c r="L113" s="1557"/>
      <c r="M113" s="1557"/>
      <c r="N113" s="1557"/>
      <c r="O113" s="1557"/>
      <c r="P113" s="1558">
        <v>0</v>
      </c>
      <c r="Q113" s="1559"/>
      <c r="R113" s="1559"/>
      <c r="S113" s="1559"/>
      <c r="T113" s="1560">
        <f>ROUND(IPMT(($AA$3%+0.35%)/11,1,$D$171-$D$160+1,$P$172-(SUM($P$4:P112)))*-1,2)</f>
        <v>1056.33</v>
      </c>
      <c r="U113" s="1560"/>
      <c r="V113" s="1560"/>
      <c r="W113" s="1560"/>
      <c r="Y113" s="739"/>
      <c r="Z113" s="737"/>
    </row>
    <row r="114" spans="1:26" ht="14.1" customHeight="1">
      <c r="A114" s="1552">
        <v>63</v>
      </c>
      <c r="B114" s="1553"/>
      <c r="C114" s="1553"/>
      <c r="D114" s="1557">
        <f t="shared" ref="D114:D123" si="9">$D$112</f>
        <v>2023</v>
      </c>
      <c r="E114" s="1557"/>
      <c r="F114" s="1557"/>
      <c r="G114" s="1557"/>
      <c r="H114" s="1557" t="s">
        <v>339</v>
      </c>
      <c r="I114" s="1557"/>
      <c r="J114" s="1557"/>
      <c r="K114" s="1557"/>
      <c r="L114" s="1557"/>
      <c r="M114" s="1557"/>
      <c r="N114" s="1557"/>
      <c r="O114" s="1557"/>
      <c r="P114" s="1558">
        <v>0</v>
      </c>
      <c r="Q114" s="1559"/>
      <c r="R114" s="1559"/>
      <c r="S114" s="1559"/>
      <c r="T114" s="1560">
        <f>ROUND(IPMT(($AA$3%+0.35%)/11,1,$D$171-$D$160+1,$P$172-(SUM($P$4:P113)))*-1,2)</f>
        <v>1056.33</v>
      </c>
      <c r="U114" s="1560"/>
      <c r="V114" s="1560"/>
      <c r="W114" s="1560"/>
      <c r="Y114" s="739"/>
      <c r="Z114" s="737"/>
    </row>
    <row r="115" spans="1:26" ht="14.1" customHeight="1">
      <c r="A115" s="1552">
        <v>64</v>
      </c>
      <c r="B115" s="1553"/>
      <c r="C115" s="1553"/>
      <c r="D115" s="1557">
        <f t="shared" si="9"/>
        <v>2023</v>
      </c>
      <c r="E115" s="1557"/>
      <c r="F115" s="1557"/>
      <c r="G115" s="1557"/>
      <c r="H115" s="1557" t="s">
        <v>340</v>
      </c>
      <c r="I115" s="1557"/>
      <c r="J115" s="1557"/>
      <c r="K115" s="1557"/>
      <c r="L115" s="1557"/>
      <c r="M115" s="1557"/>
      <c r="N115" s="1557"/>
      <c r="O115" s="1557"/>
      <c r="P115" s="1558">
        <v>0</v>
      </c>
      <c r="Q115" s="1559"/>
      <c r="R115" s="1559"/>
      <c r="S115" s="1559"/>
      <c r="T115" s="1560">
        <f>ROUND(IPMT(($AA$3%+0.35%)/11,1,$D$171-$D$160+1,$P$172-(SUM($P$4:P114)))*-1,2)</f>
        <v>1056.33</v>
      </c>
      <c r="U115" s="1560"/>
      <c r="V115" s="1560"/>
      <c r="W115" s="1560"/>
      <c r="Y115" s="739"/>
      <c r="Z115" s="737"/>
    </row>
    <row r="116" spans="1:26" ht="14.1" customHeight="1">
      <c r="A116" s="1552">
        <v>65</v>
      </c>
      <c r="B116" s="1553"/>
      <c r="C116" s="1553"/>
      <c r="D116" s="1557">
        <f t="shared" si="9"/>
        <v>2023</v>
      </c>
      <c r="E116" s="1557"/>
      <c r="F116" s="1557"/>
      <c r="G116" s="1557"/>
      <c r="H116" s="1557" t="s">
        <v>341</v>
      </c>
      <c r="I116" s="1557"/>
      <c r="J116" s="1557"/>
      <c r="K116" s="1557"/>
      <c r="L116" s="1557"/>
      <c r="M116" s="1557"/>
      <c r="N116" s="1557"/>
      <c r="O116" s="1557"/>
      <c r="P116" s="1558">
        <v>0</v>
      </c>
      <c r="Q116" s="1559"/>
      <c r="R116" s="1559"/>
      <c r="S116" s="1559"/>
      <c r="T116" s="1560">
        <f>ROUND(IPMT(($AA$3%+0.35%)/11,1,$D$171-$D$160+1,$P$172-(SUM($P$4:P115)))*-1,2)</f>
        <v>1056.33</v>
      </c>
      <c r="U116" s="1560"/>
      <c r="V116" s="1560"/>
      <c r="W116" s="1560"/>
      <c r="Y116" s="739"/>
      <c r="Z116" s="737"/>
    </row>
    <row r="117" spans="1:26" ht="14.1" customHeight="1">
      <c r="A117" s="1552">
        <v>66</v>
      </c>
      <c r="B117" s="1553"/>
      <c r="C117" s="1553"/>
      <c r="D117" s="1557">
        <f t="shared" si="9"/>
        <v>2023</v>
      </c>
      <c r="E117" s="1557"/>
      <c r="F117" s="1557"/>
      <c r="G117" s="1557"/>
      <c r="H117" s="1557" t="s">
        <v>342</v>
      </c>
      <c r="I117" s="1557"/>
      <c r="J117" s="1557"/>
      <c r="K117" s="1557"/>
      <c r="L117" s="1557"/>
      <c r="M117" s="1557"/>
      <c r="N117" s="1557"/>
      <c r="O117" s="1557"/>
      <c r="P117" s="1558">
        <v>0</v>
      </c>
      <c r="Q117" s="1559"/>
      <c r="R117" s="1559"/>
      <c r="S117" s="1559"/>
      <c r="T117" s="1560">
        <f>ROUND(IPMT(($AA$3%+0.35%)/11,1,$D$171-$D$160+1,$P$172-(SUM($P$4:P116)))*-1,2)</f>
        <v>1056.33</v>
      </c>
      <c r="U117" s="1560"/>
      <c r="V117" s="1560"/>
      <c r="W117" s="1560"/>
      <c r="Y117" s="739"/>
      <c r="Z117" s="737"/>
    </row>
    <row r="118" spans="1:26" ht="14.1" customHeight="1">
      <c r="A118" s="1552">
        <v>67</v>
      </c>
      <c r="B118" s="1553"/>
      <c r="C118" s="1553"/>
      <c r="D118" s="1557">
        <f t="shared" si="9"/>
        <v>2023</v>
      </c>
      <c r="E118" s="1557"/>
      <c r="F118" s="1557"/>
      <c r="G118" s="1557"/>
      <c r="H118" s="1557" t="s">
        <v>343</v>
      </c>
      <c r="I118" s="1557"/>
      <c r="J118" s="1557"/>
      <c r="K118" s="1557"/>
      <c r="L118" s="1557"/>
      <c r="M118" s="1557"/>
      <c r="N118" s="1557"/>
      <c r="O118" s="1557"/>
      <c r="P118" s="1558">
        <v>0</v>
      </c>
      <c r="Q118" s="1559"/>
      <c r="R118" s="1559"/>
      <c r="S118" s="1559"/>
      <c r="T118" s="1560">
        <f>ROUND(IPMT(($AA$3%+0.35%)/11,1,$D$171-$D$160+1,$P$172-(SUM($P$4:P117)))*-1,2)</f>
        <v>1056.33</v>
      </c>
      <c r="U118" s="1560"/>
      <c r="V118" s="1560"/>
      <c r="W118" s="1560"/>
      <c r="Y118" s="739"/>
      <c r="Z118" s="737"/>
    </row>
    <row r="119" spans="1:26" ht="14.1" customHeight="1">
      <c r="A119" s="1552">
        <v>68</v>
      </c>
      <c r="B119" s="1553"/>
      <c r="C119" s="1553"/>
      <c r="D119" s="1557">
        <f t="shared" si="9"/>
        <v>2023</v>
      </c>
      <c r="E119" s="1557"/>
      <c r="F119" s="1557"/>
      <c r="G119" s="1557"/>
      <c r="H119" s="1557" t="s">
        <v>344</v>
      </c>
      <c r="I119" s="1557"/>
      <c r="J119" s="1557"/>
      <c r="K119" s="1557"/>
      <c r="L119" s="1557"/>
      <c r="M119" s="1557"/>
      <c r="N119" s="1557"/>
      <c r="O119" s="1557"/>
      <c r="P119" s="1558">
        <v>0</v>
      </c>
      <c r="Q119" s="1559"/>
      <c r="R119" s="1559"/>
      <c r="S119" s="1559"/>
      <c r="T119" s="1560">
        <f>ROUND(IPMT(($AA$3%+0.35%)/11,1,$D$171-$D$160+1,$P$172-(SUM($P$4:P118)))*-1,2)</f>
        <v>1056.33</v>
      </c>
      <c r="U119" s="1560"/>
      <c r="V119" s="1560"/>
      <c r="W119" s="1560"/>
      <c r="Y119" s="739"/>
      <c r="Z119" s="737"/>
    </row>
    <row r="120" spans="1:26" ht="14.1" customHeight="1">
      <c r="A120" s="1552">
        <v>69</v>
      </c>
      <c r="B120" s="1553"/>
      <c r="C120" s="1553"/>
      <c r="D120" s="1557">
        <f t="shared" si="9"/>
        <v>2023</v>
      </c>
      <c r="E120" s="1557"/>
      <c r="F120" s="1557"/>
      <c r="G120" s="1557"/>
      <c r="H120" s="1557" t="s">
        <v>345</v>
      </c>
      <c r="I120" s="1557"/>
      <c r="J120" s="1557"/>
      <c r="K120" s="1557"/>
      <c r="L120" s="1557"/>
      <c r="M120" s="1557"/>
      <c r="N120" s="1557"/>
      <c r="O120" s="1557"/>
      <c r="P120" s="1558">
        <v>0</v>
      </c>
      <c r="Q120" s="1559"/>
      <c r="R120" s="1559"/>
      <c r="S120" s="1559"/>
      <c r="T120" s="1560">
        <f>ROUND(IPMT(($AA$3%+0.35%)/11,1,$D$171-$D$160+1,$P$172-(SUM($P$4:P119)))*-1,2)</f>
        <v>1056.33</v>
      </c>
      <c r="U120" s="1560"/>
      <c r="V120" s="1560"/>
      <c r="W120" s="1560"/>
      <c r="Y120" s="739"/>
      <c r="Z120" s="737"/>
    </row>
    <row r="121" spans="1:26" ht="14.1" customHeight="1">
      <c r="A121" s="1552">
        <v>70</v>
      </c>
      <c r="B121" s="1553"/>
      <c r="C121" s="1553"/>
      <c r="D121" s="1557">
        <f t="shared" si="9"/>
        <v>2023</v>
      </c>
      <c r="E121" s="1557"/>
      <c r="F121" s="1557"/>
      <c r="G121" s="1557"/>
      <c r="H121" s="1557" t="s">
        <v>346</v>
      </c>
      <c r="I121" s="1557"/>
      <c r="J121" s="1557"/>
      <c r="K121" s="1557"/>
      <c r="L121" s="1557"/>
      <c r="M121" s="1557"/>
      <c r="N121" s="1557"/>
      <c r="O121" s="1557"/>
      <c r="P121" s="1558">
        <v>0</v>
      </c>
      <c r="Q121" s="1559"/>
      <c r="R121" s="1559"/>
      <c r="S121" s="1559"/>
      <c r="T121" s="1560">
        <f>ROUND(IPMT(($AA$3%+0.35%)/11,1,$D$171-$D$160+1,$P$172-(SUM($P$4:P120)))*-1,2)</f>
        <v>1056.33</v>
      </c>
      <c r="U121" s="1560"/>
      <c r="V121" s="1560"/>
      <c r="W121" s="1560"/>
      <c r="Y121" s="739"/>
      <c r="Z121" s="737"/>
    </row>
    <row r="122" spans="1:26" s="743" customFormat="1" ht="14.1" customHeight="1">
      <c r="A122" s="1576">
        <v>71</v>
      </c>
      <c r="B122" s="1577"/>
      <c r="C122" s="1577"/>
      <c r="D122" s="1578">
        <f t="shared" si="9"/>
        <v>2023</v>
      </c>
      <c r="E122" s="1578"/>
      <c r="F122" s="1578"/>
      <c r="G122" s="1578"/>
      <c r="H122" s="1578" t="s">
        <v>347</v>
      </c>
      <c r="I122" s="1578"/>
      <c r="J122" s="1578"/>
      <c r="K122" s="1578"/>
      <c r="L122" s="1578"/>
      <c r="M122" s="1578"/>
      <c r="N122" s="1578"/>
      <c r="O122" s="1578"/>
      <c r="P122" s="1579">
        <v>54552.29</v>
      </c>
      <c r="Q122" s="1580"/>
      <c r="R122" s="1580"/>
      <c r="S122" s="1580"/>
      <c r="T122" s="1581">
        <f>ROUND(IPMT(($AA$3%+0.35%)/11,1,$D$171-$D$160+1,$P$172-(SUM($P$4:P121)))*-1,2)</f>
        <v>1056.33</v>
      </c>
      <c r="U122" s="1581"/>
      <c r="V122" s="1581"/>
      <c r="W122" s="1581"/>
      <c r="Y122" s="745"/>
      <c r="Z122" s="744"/>
    </row>
    <row r="123" spans="1:26" ht="14.1" customHeight="1">
      <c r="A123" s="1570">
        <v>72</v>
      </c>
      <c r="B123" s="1571"/>
      <c r="C123" s="1571"/>
      <c r="D123" s="1557">
        <f t="shared" si="9"/>
        <v>2023</v>
      </c>
      <c r="E123" s="1557"/>
      <c r="F123" s="1557"/>
      <c r="G123" s="1557"/>
      <c r="H123" s="1572" t="s">
        <v>348</v>
      </c>
      <c r="I123" s="1572"/>
      <c r="J123" s="1572"/>
      <c r="K123" s="1572"/>
      <c r="L123" s="1572"/>
      <c r="M123" s="1572"/>
      <c r="N123" s="1572"/>
      <c r="O123" s="1572"/>
      <c r="P123" s="1573">
        <v>0</v>
      </c>
      <c r="Q123" s="1574"/>
      <c r="R123" s="1574"/>
      <c r="S123" s="1574"/>
      <c r="T123" s="1575">
        <f>ROUND(IPMT(($AA$3%+0.35%)/11,1,$D$171-$D$160+1,$P$172-(SUM($P$4:P122)))*-1,2)</f>
        <v>704.22</v>
      </c>
      <c r="U123" s="1575"/>
      <c r="V123" s="1575"/>
      <c r="W123" s="1575"/>
      <c r="Y123" s="740">
        <f>SUM(T112:W123)</f>
        <v>12323.849999999999</v>
      </c>
      <c r="Z123" s="737"/>
    </row>
    <row r="124" spans="1:26" ht="14.1" customHeight="1">
      <c r="A124" s="1552">
        <v>61</v>
      </c>
      <c r="B124" s="1553"/>
      <c r="C124" s="1553"/>
      <c r="D124" s="1557">
        <f>D123+1</f>
        <v>2024</v>
      </c>
      <c r="E124" s="1557"/>
      <c r="F124" s="1557"/>
      <c r="G124" s="1557"/>
      <c r="H124" s="1557" t="s">
        <v>337</v>
      </c>
      <c r="I124" s="1557"/>
      <c r="J124" s="1557"/>
      <c r="K124" s="1557"/>
      <c r="L124" s="1557"/>
      <c r="M124" s="1557"/>
      <c r="N124" s="1557"/>
      <c r="O124" s="1557"/>
      <c r="P124" s="1558">
        <v>0</v>
      </c>
      <c r="Q124" s="1559"/>
      <c r="R124" s="1559"/>
      <c r="S124" s="1559"/>
      <c r="T124" s="1560">
        <f>ROUND(IPMT(($AA$3%+0.35%)/11,1,$D$171-$D$112+1,$P$172-(SUM($P$4:P123)))*-1,2)</f>
        <v>704.22</v>
      </c>
      <c r="U124" s="1560"/>
      <c r="V124" s="1560"/>
      <c r="W124" s="1560"/>
      <c r="Y124" s="739"/>
      <c r="Z124" s="737"/>
    </row>
    <row r="125" spans="1:26" ht="14.1" customHeight="1">
      <c r="A125" s="1552">
        <v>62</v>
      </c>
      <c r="B125" s="1553"/>
      <c r="C125" s="1553"/>
      <c r="D125" s="1557">
        <f>$D$124</f>
        <v>2024</v>
      </c>
      <c r="E125" s="1557"/>
      <c r="F125" s="1557"/>
      <c r="G125" s="1557"/>
      <c r="H125" s="1557" t="s">
        <v>338</v>
      </c>
      <c r="I125" s="1557"/>
      <c r="J125" s="1557"/>
      <c r="K125" s="1557"/>
      <c r="L125" s="1557"/>
      <c r="M125" s="1557"/>
      <c r="N125" s="1557"/>
      <c r="O125" s="1557"/>
      <c r="P125" s="1558">
        <v>0</v>
      </c>
      <c r="Q125" s="1559"/>
      <c r="R125" s="1559"/>
      <c r="S125" s="1559"/>
      <c r="T125" s="1560">
        <f>ROUND(IPMT(($AA$3%+0.35%)/11,1,$D$171-$D$160+1,$P$172-(SUM($P$4:P124)))*-1,2)</f>
        <v>704.22</v>
      </c>
      <c r="U125" s="1560"/>
      <c r="V125" s="1560"/>
      <c r="W125" s="1560"/>
      <c r="Y125" s="739"/>
      <c r="Z125" s="737"/>
    </row>
    <row r="126" spans="1:26" ht="14.1" customHeight="1">
      <c r="A126" s="1552">
        <v>63</v>
      </c>
      <c r="B126" s="1553"/>
      <c r="C126" s="1553"/>
      <c r="D126" s="1557">
        <f t="shared" ref="D126:D135" si="10">$D$124</f>
        <v>2024</v>
      </c>
      <c r="E126" s="1557"/>
      <c r="F126" s="1557"/>
      <c r="G126" s="1557"/>
      <c r="H126" s="1557" t="s">
        <v>339</v>
      </c>
      <c r="I126" s="1557"/>
      <c r="J126" s="1557"/>
      <c r="K126" s="1557"/>
      <c r="L126" s="1557"/>
      <c r="M126" s="1557"/>
      <c r="N126" s="1557"/>
      <c r="O126" s="1557"/>
      <c r="P126" s="1558">
        <v>0</v>
      </c>
      <c r="Q126" s="1559"/>
      <c r="R126" s="1559"/>
      <c r="S126" s="1559"/>
      <c r="T126" s="1560">
        <f>ROUND(IPMT(($AA$3%+0.35%)/11,1,$D$171-$D$160+1,$P$172-(SUM($P$4:P125)))*-1,2)</f>
        <v>704.22</v>
      </c>
      <c r="U126" s="1560"/>
      <c r="V126" s="1560"/>
      <c r="W126" s="1560"/>
      <c r="Y126" s="739"/>
      <c r="Z126" s="737"/>
    </row>
    <row r="127" spans="1:26" ht="14.1" customHeight="1">
      <c r="A127" s="1552">
        <v>64</v>
      </c>
      <c r="B127" s="1553"/>
      <c r="C127" s="1553"/>
      <c r="D127" s="1557">
        <f t="shared" si="10"/>
        <v>2024</v>
      </c>
      <c r="E127" s="1557"/>
      <c r="F127" s="1557"/>
      <c r="G127" s="1557"/>
      <c r="H127" s="1557" t="s">
        <v>340</v>
      </c>
      <c r="I127" s="1557"/>
      <c r="J127" s="1557"/>
      <c r="K127" s="1557"/>
      <c r="L127" s="1557"/>
      <c r="M127" s="1557"/>
      <c r="N127" s="1557"/>
      <c r="O127" s="1557"/>
      <c r="P127" s="1558">
        <v>0</v>
      </c>
      <c r="Q127" s="1559"/>
      <c r="R127" s="1559"/>
      <c r="S127" s="1559"/>
      <c r="T127" s="1560">
        <f>ROUND(IPMT(($AA$3%+0.35%)/11,1,$D$171-$D$160+1,$P$172-(SUM($P$4:P126)))*-1,2)</f>
        <v>704.22</v>
      </c>
      <c r="U127" s="1560"/>
      <c r="V127" s="1560"/>
      <c r="W127" s="1560"/>
      <c r="Y127" s="739"/>
      <c r="Z127" s="737"/>
    </row>
    <row r="128" spans="1:26" ht="14.1" customHeight="1">
      <c r="A128" s="1552">
        <v>65</v>
      </c>
      <c r="B128" s="1553"/>
      <c r="C128" s="1553"/>
      <c r="D128" s="1557">
        <f t="shared" si="10"/>
        <v>2024</v>
      </c>
      <c r="E128" s="1557"/>
      <c r="F128" s="1557"/>
      <c r="G128" s="1557"/>
      <c r="H128" s="1557" t="s">
        <v>341</v>
      </c>
      <c r="I128" s="1557"/>
      <c r="J128" s="1557"/>
      <c r="K128" s="1557"/>
      <c r="L128" s="1557"/>
      <c r="M128" s="1557"/>
      <c r="N128" s="1557"/>
      <c r="O128" s="1557"/>
      <c r="P128" s="1558">
        <v>0</v>
      </c>
      <c r="Q128" s="1559"/>
      <c r="R128" s="1559"/>
      <c r="S128" s="1559"/>
      <c r="T128" s="1560">
        <f>ROUND(IPMT(($AA$3%+0.35%)/11,1,$D$171-$D$160+1,$P$172-(SUM($P$4:P127)))*-1,2)</f>
        <v>704.22</v>
      </c>
      <c r="U128" s="1560"/>
      <c r="V128" s="1560"/>
      <c r="W128" s="1560"/>
      <c r="Y128" s="739"/>
      <c r="Z128" s="737"/>
    </row>
    <row r="129" spans="1:26" ht="14.1" customHeight="1">
      <c r="A129" s="1552">
        <v>66</v>
      </c>
      <c r="B129" s="1553"/>
      <c r="C129" s="1553"/>
      <c r="D129" s="1557">
        <f t="shared" si="10"/>
        <v>2024</v>
      </c>
      <c r="E129" s="1557"/>
      <c r="F129" s="1557"/>
      <c r="G129" s="1557"/>
      <c r="H129" s="1557" t="s">
        <v>342</v>
      </c>
      <c r="I129" s="1557"/>
      <c r="J129" s="1557"/>
      <c r="K129" s="1557"/>
      <c r="L129" s="1557"/>
      <c r="M129" s="1557"/>
      <c r="N129" s="1557"/>
      <c r="O129" s="1557"/>
      <c r="P129" s="1558">
        <v>0</v>
      </c>
      <c r="Q129" s="1559"/>
      <c r="R129" s="1559"/>
      <c r="S129" s="1559"/>
      <c r="T129" s="1560">
        <f>ROUND(IPMT(($AA$3%+0.35%)/11,1,$D$171-$D$160+1,$P$172-(SUM($P$4:P128)))*-1,2)</f>
        <v>704.22</v>
      </c>
      <c r="U129" s="1560"/>
      <c r="V129" s="1560"/>
      <c r="W129" s="1560"/>
      <c r="Y129" s="739"/>
      <c r="Z129" s="737"/>
    </row>
    <row r="130" spans="1:26" ht="14.1" customHeight="1">
      <c r="A130" s="1552">
        <v>67</v>
      </c>
      <c r="B130" s="1553"/>
      <c r="C130" s="1553"/>
      <c r="D130" s="1557">
        <f t="shared" si="10"/>
        <v>2024</v>
      </c>
      <c r="E130" s="1557"/>
      <c r="F130" s="1557"/>
      <c r="G130" s="1557"/>
      <c r="H130" s="1557" t="s">
        <v>343</v>
      </c>
      <c r="I130" s="1557"/>
      <c r="J130" s="1557"/>
      <c r="K130" s="1557"/>
      <c r="L130" s="1557"/>
      <c r="M130" s="1557"/>
      <c r="N130" s="1557"/>
      <c r="O130" s="1557"/>
      <c r="P130" s="1558">
        <v>0</v>
      </c>
      <c r="Q130" s="1559"/>
      <c r="R130" s="1559"/>
      <c r="S130" s="1559"/>
      <c r="T130" s="1560">
        <f>ROUND(IPMT(($AA$3%+0.35%)/11,1,$D$171-$D$160+1,$P$172-(SUM($P$4:P129)))*-1,2)</f>
        <v>704.22</v>
      </c>
      <c r="U130" s="1560"/>
      <c r="V130" s="1560"/>
      <c r="W130" s="1560"/>
      <c r="Y130" s="739"/>
      <c r="Z130" s="737"/>
    </row>
    <row r="131" spans="1:26" ht="14.1" customHeight="1">
      <c r="A131" s="1552">
        <v>68</v>
      </c>
      <c r="B131" s="1553"/>
      <c r="C131" s="1553"/>
      <c r="D131" s="1557">
        <f t="shared" si="10"/>
        <v>2024</v>
      </c>
      <c r="E131" s="1557"/>
      <c r="F131" s="1557"/>
      <c r="G131" s="1557"/>
      <c r="H131" s="1557" t="s">
        <v>344</v>
      </c>
      <c r="I131" s="1557"/>
      <c r="J131" s="1557"/>
      <c r="K131" s="1557"/>
      <c r="L131" s="1557"/>
      <c r="M131" s="1557"/>
      <c r="N131" s="1557"/>
      <c r="O131" s="1557"/>
      <c r="P131" s="1558">
        <v>0</v>
      </c>
      <c r="Q131" s="1559"/>
      <c r="R131" s="1559"/>
      <c r="S131" s="1559"/>
      <c r="T131" s="1560">
        <f>ROUND(IPMT(($AA$3%+0.35%)/11,1,$D$171-$D$160+1,$P$172-(SUM($P$4:P130)))*-1,2)</f>
        <v>704.22</v>
      </c>
      <c r="U131" s="1560"/>
      <c r="V131" s="1560"/>
      <c r="W131" s="1560"/>
      <c r="Y131" s="739"/>
      <c r="Z131" s="737"/>
    </row>
    <row r="132" spans="1:26" ht="14.1" customHeight="1">
      <c r="A132" s="1552">
        <v>69</v>
      </c>
      <c r="B132" s="1553"/>
      <c r="C132" s="1553"/>
      <c r="D132" s="1557">
        <f t="shared" si="10"/>
        <v>2024</v>
      </c>
      <c r="E132" s="1557"/>
      <c r="F132" s="1557"/>
      <c r="G132" s="1557"/>
      <c r="H132" s="1557" t="s">
        <v>345</v>
      </c>
      <c r="I132" s="1557"/>
      <c r="J132" s="1557"/>
      <c r="K132" s="1557"/>
      <c r="L132" s="1557"/>
      <c r="M132" s="1557"/>
      <c r="N132" s="1557"/>
      <c r="O132" s="1557"/>
      <c r="P132" s="1558">
        <v>0</v>
      </c>
      <c r="Q132" s="1559"/>
      <c r="R132" s="1559"/>
      <c r="S132" s="1559"/>
      <c r="T132" s="1560">
        <f>ROUND(IPMT(($AA$3%+0.35%)/11,1,$D$171-$D$160+1,$P$172-(SUM($P$4:P131)))*-1,2)</f>
        <v>704.22</v>
      </c>
      <c r="U132" s="1560"/>
      <c r="V132" s="1560"/>
      <c r="W132" s="1560"/>
      <c r="Y132" s="739"/>
      <c r="Z132" s="737"/>
    </row>
    <row r="133" spans="1:26" ht="14.1" customHeight="1">
      <c r="A133" s="1552">
        <v>70</v>
      </c>
      <c r="B133" s="1553"/>
      <c r="C133" s="1553"/>
      <c r="D133" s="1557">
        <f t="shared" si="10"/>
        <v>2024</v>
      </c>
      <c r="E133" s="1557"/>
      <c r="F133" s="1557"/>
      <c r="G133" s="1557"/>
      <c r="H133" s="1557" t="s">
        <v>346</v>
      </c>
      <c r="I133" s="1557"/>
      <c r="J133" s="1557"/>
      <c r="K133" s="1557"/>
      <c r="L133" s="1557"/>
      <c r="M133" s="1557"/>
      <c r="N133" s="1557"/>
      <c r="O133" s="1557"/>
      <c r="P133" s="1558">
        <v>0</v>
      </c>
      <c r="Q133" s="1559"/>
      <c r="R133" s="1559"/>
      <c r="S133" s="1559"/>
      <c r="T133" s="1560">
        <f>ROUND(IPMT(($AA$3%+0.35%)/11,1,$D$171-$D$160+1,$P$172-(SUM($P$4:P132)))*-1,2)</f>
        <v>704.22</v>
      </c>
      <c r="U133" s="1560"/>
      <c r="V133" s="1560"/>
      <c r="W133" s="1560"/>
      <c r="Y133" s="739"/>
      <c r="Z133" s="737"/>
    </row>
    <row r="134" spans="1:26" s="743" customFormat="1" ht="14.1" customHeight="1">
      <c r="A134" s="1576">
        <v>71</v>
      </c>
      <c r="B134" s="1577"/>
      <c r="C134" s="1577"/>
      <c r="D134" s="1578">
        <f t="shared" si="10"/>
        <v>2024</v>
      </c>
      <c r="E134" s="1578"/>
      <c r="F134" s="1578"/>
      <c r="G134" s="1578"/>
      <c r="H134" s="1578" t="s">
        <v>347</v>
      </c>
      <c r="I134" s="1578"/>
      <c r="J134" s="1578"/>
      <c r="K134" s="1578"/>
      <c r="L134" s="1578"/>
      <c r="M134" s="1578"/>
      <c r="N134" s="1578"/>
      <c r="O134" s="1578"/>
      <c r="P134" s="1579">
        <v>54552.29</v>
      </c>
      <c r="Q134" s="1580"/>
      <c r="R134" s="1580"/>
      <c r="S134" s="1580"/>
      <c r="T134" s="1581">
        <f>ROUND(IPMT(($AA$3%+0.35%)/11,1,$D$171-$D$160+1,$P$172-(SUM($P$4:P133)))*-1,2)</f>
        <v>704.22</v>
      </c>
      <c r="U134" s="1581"/>
      <c r="V134" s="1581"/>
      <c r="W134" s="1581"/>
      <c r="Y134" s="745"/>
      <c r="Z134" s="744"/>
    </row>
    <row r="135" spans="1:26" ht="14.1" customHeight="1">
      <c r="A135" s="1570">
        <v>72</v>
      </c>
      <c r="B135" s="1571"/>
      <c r="C135" s="1571"/>
      <c r="D135" s="1557">
        <f t="shared" si="10"/>
        <v>2024</v>
      </c>
      <c r="E135" s="1557"/>
      <c r="F135" s="1557"/>
      <c r="G135" s="1557"/>
      <c r="H135" s="1572" t="s">
        <v>348</v>
      </c>
      <c r="I135" s="1572"/>
      <c r="J135" s="1572"/>
      <c r="K135" s="1572"/>
      <c r="L135" s="1572"/>
      <c r="M135" s="1572"/>
      <c r="N135" s="1572"/>
      <c r="O135" s="1572"/>
      <c r="P135" s="1573">
        <v>0</v>
      </c>
      <c r="Q135" s="1574"/>
      <c r="R135" s="1574"/>
      <c r="S135" s="1574"/>
      <c r="T135" s="1575">
        <f>ROUND(IPMT(($AA$3%+0.35%)/11,1,$D$171-$D$160+1,$P$172-(SUM($P$4:P134)))*-1,2)</f>
        <v>352.11</v>
      </c>
      <c r="U135" s="1575"/>
      <c r="V135" s="1575"/>
      <c r="W135" s="1575"/>
      <c r="Y135" s="740">
        <f>SUM(T124:W135)</f>
        <v>8098.5300000000016</v>
      </c>
      <c r="Z135" s="737"/>
    </row>
    <row r="136" spans="1:26" ht="14.1" customHeight="1">
      <c r="A136" s="1552">
        <v>61</v>
      </c>
      <c r="B136" s="1553"/>
      <c r="C136" s="1553"/>
      <c r="D136" s="1557">
        <v>2025</v>
      </c>
      <c r="E136" s="1557"/>
      <c r="F136" s="1557"/>
      <c r="G136" s="1557"/>
      <c r="H136" s="1557" t="s">
        <v>337</v>
      </c>
      <c r="I136" s="1557"/>
      <c r="J136" s="1557"/>
      <c r="K136" s="1557"/>
      <c r="L136" s="1557"/>
      <c r="M136" s="1557"/>
      <c r="N136" s="1557"/>
      <c r="O136" s="1557"/>
      <c r="P136" s="1558">
        <v>0</v>
      </c>
      <c r="Q136" s="1559"/>
      <c r="R136" s="1559"/>
      <c r="S136" s="1559"/>
      <c r="T136" s="1560">
        <f>ROUND(IPMT(($AA$3%+0.35%)/11,1,$D$171-$D$124+1,$P$172-(SUM($P$4:P135)))*-1,2)</f>
        <v>352.11</v>
      </c>
      <c r="U136" s="1560"/>
      <c r="V136" s="1560"/>
      <c r="W136" s="1560"/>
      <c r="Y136" s="739"/>
      <c r="Z136" s="737"/>
    </row>
    <row r="137" spans="1:26" ht="14.1" customHeight="1">
      <c r="A137" s="1552">
        <v>62</v>
      </c>
      <c r="B137" s="1553"/>
      <c r="C137" s="1553"/>
      <c r="D137" s="1557">
        <f>$D$136</f>
        <v>2025</v>
      </c>
      <c r="E137" s="1557"/>
      <c r="F137" s="1557"/>
      <c r="G137" s="1557"/>
      <c r="H137" s="1557" t="s">
        <v>338</v>
      </c>
      <c r="I137" s="1557"/>
      <c r="J137" s="1557"/>
      <c r="K137" s="1557"/>
      <c r="L137" s="1557"/>
      <c r="M137" s="1557"/>
      <c r="N137" s="1557"/>
      <c r="O137" s="1557"/>
      <c r="P137" s="1558">
        <v>0</v>
      </c>
      <c r="Q137" s="1559"/>
      <c r="R137" s="1559"/>
      <c r="S137" s="1559"/>
      <c r="T137" s="1560">
        <f>ROUND(IPMT(($AA$3%+0.35%)/11,1,$D$171-$D$160+1,$P$172-(SUM($P$4:P136)))*-1,2)</f>
        <v>352.11</v>
      </c>
      <c r="U137" s="1560"/>
      <c r="V137" s="1560"/>
      <c r="W137" s="1560"/>
      <c r="Y137" s="739"/>
      <c r="Z137" s="737"/>
    </row>
    <row r="138" spans="1:26" ht="14.1" customHeight="1">
      <c r="A138" s="1552">
        <v>63</v>
      </c>
      <c r="B138" s="1553"/>
      <c r="C138" s="1553"/>
      <c r="D138" s="1557">
        <f t="shared" ref="D138:D147" si="11">$D$136</f>
        <v>2025</v>
      </c>
      <c r="E138" s="1557"/>
      <c r="F138" s="1557"/>
      <c r="G138" s="1557"/>
      <c r="H138" s="1557" t="s">
        <v>339</v>
      </c>
      <c r="I138" s="1557"/>
      <c r="J138" s="1557"/>
      <c r="K138" s="1557"/>
      <c r="L138" s="1557"/>
      <c r="M138" s="1557"/>
      <c r="N138" s="1557"/>
      <c r="O138" s="1557"/>
      <c r="P138" s="1558">
        <v>0</v>
      </c>
      <c r="Q138" s="1559"/>
      <c r="R138" s="1559"/>
      <c r="S138" s="1559"/>
      <c r="T138" s="1560">
        <f>ROUND(IPMT(($AA$3%+0.35%)/11,1,$D$171-$D$160+1,$P$172-(SUM($P$4:P137)))*-1,2)</f>
        <v>352.11</v>
      </c>
      <c r="U138" s="1560"/>
      <c r="V138" s="1560"/>
      <c r="W138" s="1560"/>
      <c r="Y138" s="739"/>
      <c r="Z138" s="737"/>
    </row>
    <row r="139" spans="1:26" ht="14.1" customHeight="1">
      <c r="A139" s="1552">
        <v>64</v>
      </c>
      <c r="B139" s="1553"/>
      <c r="C139" s="1553"/>
      <c r="D139" s="1557">
        <f t="shared" si="11"/>
        <v>2025</v>
      </c>
      <c r="E139" s="1557"/>
      <c r="F139" s="1557"/>
      <c r="G139" s="1557"/>
      <c r="H139" s="1557" t="s">
        <v>340</v>
      </c>
      <c r="I139" s="1557"/>
      <c r="J139" s="1557"/>
      <c r="K139" s="1557"/>
      <c r="L139" s="1557"/>
      <c r="M139" s="1557"/>
      <c r="N139" s="1557"/>
      <c r="O139" s="1557"/>
      <c r="P139" s="1558">
        <v>0</v>
      </c>
      <c r="Q139" s="1559"/>
      <c r="R139" s="1559"/>
      <c r="S139" s="1559"/>
      <c r="T139" s="1560">
        <f>ROUND(IPMT(($AA$3%+0.35%)/11,1,$D$171-$D$160+1,$P$172-(SUM($P$4:P138)))*-1,2)</f>
        <v>352.11</v>
      </c>
      <c r="U139" s="1560"/>
      <c r="V139" s="1560"/>
      <c r="W139" s="1560"/>
      <c r="Y139" s="739"/>
      <c r="Z139" s="737"/>
    </row>
    <row r="140" spans="1:26" ht="14.1" customHeight="1">
      <c r="A140" s="1552">
        <v>65</v>
      </c>
      <c r="B140" s="1553"/>
      <c r="C140" s="1553"/>
      <c r="D140" s="1557">
        <f t="shared" si="11"/>
        <v>2025</v>
      </c>
      <c r="E140" s="1557"/>
      <c r="F140" s="1557"/>
      <c r="G140" s="1557"/>
      <c r="H140" s="1557" t="s">
        <v>341</v>
      </c>
      <c r="I140" s="1557"/>
      <c r="J140" s="1557"/>
      <c r="K140" s="1557"/>
      <c r="L140" s="1557"/>
      <c r="M140" s="1557"/>
      <c r="N140" s="1557"/>
      <c r="O140" s="1557"/>
      <c r="P140" s="1558">
        <v>0</v>
      </c>
      <c r="Q140" s="1559"/>
      <c r="R140" s="1559"/>
      <c r="S140" s="1559"/>
      <c r="T140" s="1560">
        <f>ROUND(IPMT(($AA$3%+0.35%)/11,1,$D$171-$D$160+1,$P$172-(SUM($P$4:P139)))*-1,2)</f>
        <v>352.11</v>
      </c>
      <c r="U140" s="1560"/>
      <c r="V140" s="1560"/>
      <c r="W140" s="1560"/>
      <c r="Y140" s="739"/>
      <c r="Z140" s="737"/>
    </row>
    <row r="141" spans="1:26" ht="14.1" customHeight="1">
      <c r="A141" s="1552">
        <v>66</v>
      </c>
      <c r="B141" s="1553"/>
      <c r="C141" s="1553"/>
      <c r="D141" s="1557">
        <f t="shared" si="11"/>
        <v>2025</v>
      </c>
      <c r="E141" s="1557"/>
      <c r="F141" s="1557"/>
      <c r="G141" s="1557"/>
      <c r="H141" s="1557" t="s">
        <v>342</v>
      </c>
      <c r="I141" s="1557"/>
      <c r="J141" s="1557"/>
      <c r="K141" s="1557"/>
      <c r="L141" s="1557"/>
      <c r="M141" s="1557"/>
      <c r="N141" s="1557"/>
      <c r="O141" s="1557"/>
      <c r="P141" s="1558">
        <v>0</v>
      </c>
      <c r="Q141" s="1559"/>
      <c r="R141" s="1559"/>
      <c r="S141" s="1559"/>
      <c r="T141" s="1560">
        <f>ROUND(IPMT(($AA$3%+0.35%)/11,1,$D$171-$D$160+1,$P$172-(SUM($P$4:P140)))*-1,2)</f>
        <v>352.11</v>
      </c>
      <c r="U141" s="1560"/>
      <c r="V141" s="1560"/>
      <c r="W141" s="1560"/>
      <c r="Y141" s="739"/>
      <c r="Z141" s="737"/>
    </row>
    <row r="142" spans="1:26" ht="14.1" customHeight="1">
      <c r="A142" s="1552">
        <v>67</v>
      </c>
      <c r="B142" s="1553"/>
      <c r="C142" s="1553"/>
      <c r="D142" s="1557">
        <f t="shared" si="11"/>
        <v>2025</v>
      </c>
      <c r="E142" s="1557"/>
      <c r="F142" s="1557"/>
      <c r="G142" s="1557"/>
      <c r="H142" s="1557" t="s">
        <v>343</v>
      </c>
      <c r="I142" s="1557"/>
      <c r="J142" s="1557"/>
      <c r="K142" s="1557"/>
      <c r="L142" s="1557"/>
      <c r="M142" s="1557"/>
      <c r="N142" s="1557"/>
      <c r="O142" s="1557"/>
      <c r="P142" s="1558">
        <v>0</v>
      </c>
      <c r="Q142" s="1559"/>
      <c r="R142" s="1559"/>
      <c r="S142" s="1559"/>
      <c r="T142" s="1560">
        <f>ROUND(IPMT(($AA$3%+0.35%)/11,1,$D$171-$D$160+1,$P$172-(SUM($P$4:P141)))*-1,2)</f>
        <v>352.11</v>
      </c>
      <c r="U142" s="1560"/>
      <c r="V142" s="1560"/>
      <c r="W142" s="1560"/>
      <c r="Y142" s="739"/>
      <c r="Z142" s="737"/>
    </row>
    <row r="143" spans="1:26" ht="14.1" customHeight="1">
      <c r="A143" s="1552">
        <v>68</v>
      </c>
      <c r="B143" s="1553"/>
      <c r="C143" s="1553"/>
      <c r="D143" s="1557">
        <f t="shared" si="11"/>
        <v>2025</v>
      </c>
      <c r="E143" s="1557"/>
      <c r="F143" s="1557"/>
      <c r="G143" s="1557"/>
      <c r="H143" s="1557" t="s">
        <v>344</v>
      </c>
      <c r="I143" s="1557"/>
      <c r="J143" s="1557"/>
      <c r="K143" s="1557"/>
      <c r="L143" s="1557"/>
      <c r="M143" s="1557"/>
      <c r="N143" s="1557"/>
      <c r="O143" s="1557"/>
      <c r="P143" s="1558">
        <v>0</v>
      </c>
      <c r="Q143" s="1559"/>
      <c r="R143" s="1559"/>
      <c r="S143" s="1559"/>
      <c r="T143" s="1560">
        <f>ROUND(IPMT(($AA$3%+0.35%)/11,1,$D$171-$D$160+1,$P$172-(SUM($P$4:P142)))*-1,2)</f>
        <v>352.11</v>
      </c>
      <c r="U143" s="1560"/>
      <c r="V143" s="1560"/>
      <c r="W143" s="1560"/>
      <c r="Y143" s="739"/>
      <c r="Z143" s="737"/>
    </row>
    <row r="144" spans="1:26" ht="14.1" customHeight="1">
      <c r="A144" s="1552">
        <v>69</v>
      </c>
      <c r="B144" s="1553"/>
      <c r="C144" s="1553"/>
      <c r="D144" s="1557">
        <f t="shared" si="11"/>
        <v>2025</v>
      </c>
      <c r="E144" s="1557"/>
      <c r="F144" s="1557"/>
      <c r="G144" s="1557"/>
      <c r="H144" s="1557" t="s">
        <v>345</v>
      </c>
      <c r="I144" s="1557"/>
      <c r="J144" s="1557"/>
      <c r="K144" s="1557"/>
      <c r="L144" s="1557"/>
      <c r="M144" s="1557"/>
      <c r="N144" s="1557"/>
      <c r="O144" s="1557"/>
      <c r="P144" s="1558">
        <v>0</v>
      </c>
      <c r="Q144" s="1559"/>
      <c r="R144" s="1559"/>
      <c r="S144" s="1559"/>
      <c r="T144" s="1560">
        <f>ROUND(IPMT(($AA$3%+0.35%)/11,1,$D$171-$D$160+1,$P$172-(SUM($P$4:P143)))*-1,2)</f>
        <v>352.11</v>
      </c>
      <c r="U144" s="1560"/>
      <c r="V144" s="1560"/>
      <c r="W144" s="1560"/>
      <c r="Y144" s="739"/>
      <c r="Z144" s="737"/>
    </row>
    <row r="145" spans="1:26" ht="14.1" customHeight="1">
      <c r="A145" s="1552">
        <v>70</v>
      </c>
      <c r="B145" s="1553"/>
      <c r="C145" s="1553"/>
      <c r="D145" s="1557">
        <f t="shared" si="11"/>
        <v>2025</v>
      </c>
      <c r="E145" s="1557"/>
      <c r="F145" s="1557"/>
      <c r="G145" s="1557"/>
      <c r="H145" s="1557" t="s">
        <v>346</v>
      </c>
      <c r="I145" s="1557"/>
      <c r="J145" s="1557"/>
      <c r="K145" s="1557"/>
      <c r="L145" s="1557"/>
      <c r="M145" s="1557"/>
      <c r="N145" s="1557"/>
      <c r="O145" s="1557"/>
      <c r="P145" s="1558">
        <v>0</v>
      </c>
      <c r="Q145" s="1559"/>
      <c r="R145" s="1559"/>
      <c r="S145" s="1559"/>
      <c r="T145" s="1560">
        <f>ROUND(IPMT(($AA$3%+0.35%)/11,1,$D$171-$D$160+1,$P$172-(SUM($P$4:P144)))*-1,2)</f>
        <v>352.11</v>
      </c>
      <c r="U145" s="1560"/>
      <c r="V145" s="1560"/>
      <c r="W145" s="1560"/>
      <c r="Y145" s="739"/>
      <c r="Z145" s="737"/>
    </row>
    <row r="146" spans="1:26" s="743" customFormat="1" ht="14.1" customHeight="1">
      <c r="A146" s="1576">
        <v>71</v>
      </c>
      <c r="B146" s="1577"/>
      <c r="C146" s="1577"/>
      <c r="D146" s="1578">
        <f t="shared" si="11"/>
        <v>2025</v>
      </c>
      <c r="E146" s="1578"/>
      <c r="F146" s="1578"/>
      <c r="G146" s="1578"/>
      <c r="H146" s="1578" t="s">
        <v>347</v>
      </c>
      <c r="I146" s="1578"/>
      <c r="J146" s="1578"/>
      <c r="K146" s="1578"/>
      <c r="L146" s="1578"/>
      <c r="M146" s="1578"/>
      <c r="N146" s="1578"/>
      <c r="O146" s="1578"/>
      <c r="P146" s="1579">
        <v>54552.33</v>
      </c>
      <c r="Q146" s="1580"/>
      <c r="R146" s="1580"/>
      <c r="S146" s="1580"/>
      <c r="T146" s="1581">
        <f>ROUND(IPMT(($AA$3%+0.35%)/11,1,$D$171-$D$160+1,$P$172-(SUM($P$4:P145)))*-1,2)</f>
        <v>352.11</v>
      </c>
      <c r="U146" s="1581"/>
      <c r="V146" s="1581"/>
      <c r="W146" s="1581"/>
      <c r="Y146" s="745"/>
      <c r="Z146" s="744"/>
    </row>
    <row r="147" spans="1:26" ht="14.1" customHeight="1">
      <c r="A147" s="1570">
        <v>72</v>
      </c>
      <c r="B147" s="1571"/>
      <c r="C147" s="1571"/>
      <c r="D147" s="1557">
        <f t="shared" si="11"/>
        <v>2025</v>
      </c>
      <c r="E147" s="1557"/>
      <c r="F147" s="1557"/>
      <c r="G147" s="1557"/>
      <c r="H147" s="1572" t="s">
        <v>348</v>
      </c>
      <c r="I147" s="1572"/>
      <c r="J147" s="1572"/>
      <c r="K147" s="1572"/>
      <c r="L147" s="1572"/>
      <c r="M147" s="1572"/>
      <c r="N147" s="1572"/>
      <c r="O147" s="1572"/>
      <c r="P147" s="1573">
        <v>0</v>
      </c>
      <c r="Q147" s="1574"/>
      <c r="R147" s="1574"/>
      <c r="S147" s="1574"/>
      <c r="T147" s="1575">
        <f>ROUND(IPMT(($AA$3%+0.35%)/11,1,$D$171-$D$160+1,$P$172-(SUM($P$4:P146)))*-1,2)</f>
        <v>0</v>
      </c>
      <c r="U147" s="1575"/>
      <c r="V147" s="1575"/>
      <c r="W147" s="1575"/>
      <c r="Y147" s="740">
        <f>SUM(T136:W147)</f>
        <v>3873.2100000000009</v>
      </c>
      <c r="Z147" s="737"/>
    </row>
    <row r="148" spans="1:26" ht="14.1" customHeight="1">
      <c r="A148" s="1552">
        <v>61</v>
      </c>
      <c r="B148" s="1553"/>
      <c r="C148" s="1553"/>
      <c r="D148" s="1557">
        <f>D147+1</f>
        <v>2026</v>
      </c>
      <c r="E148" s="1557"/>
      <c r="F148" s="1557"/>
      <c r="G148" s="1557"/>
      <c r="H148" s="1557" t="s">
        <v>337</v>
      </c>
      <c r="I148" s="1557"/>
      <c r="J148" s="1557"/>
      <c r="K148" s="1557"/>
      <c r="L148" s="1557"/>
      <c r="M148" s="1557"/>
      <c r="N148" s="1557"/>
      <c r="O148" s="1557"/>
      <c r="P148" s="1558">
        <v>0</v>
      </c>
      <c r="Q148" s="1559"/>
      <c r="R148" s="1559"/>
      <c r="S148" s="1559"/>
      <c r="T148" s="1560">
        <f>ROUND(IPMT(($AA$3%+0.35%)/11,1,$D$171-$D$124+1,$P$172-(SUM($P$4:P147)))*-1,2)</f>
        <v>0</v>
      </c>
      <c r="U148" s="1560"/>
      <c r="V148" s="1560"/>
      <c r="W148" s="1560"/>
      <c r="Y148" s="739"/>
      <c r="Z148" s="737"/>
    </row>
    <row r="149" spans="1:26" ht="14.1" customHeight="1">
      <c r="A149" s="1552">
        <v>62</v>
      </c>
      <c r="B149" s="1553"/>
      <c r="C149" s="1553"/>
      <c r="D149" s="1557">
        <f>$D$148</f>
        <v>2026</v>
      </c>
      <c r="E149" s="1557"/>
      <c r="F149" s="1557"/>
      <c r="G149" s="1557"/>
      <c r="H149" s="1557" t="s">
        <v>338</v>
      </c>
      <c r="I149" s="1557"/>
      <c r="J149" s="1557"/>
      <c r="K149" s="1557"/>
      <c r="L149" s="1557"/>
      <c r="M149" s="1557"/>
      <c r="N149" s="1557"/>
      <c r="O149" s="1557"/>
      <c r="P149" s="1558">
        <v>0</v>
      </c>
      <c r="Q149" s="1559"/>
      <c r="R149" s="1559"/>
      <c r="S149" s="1559"/>
      <c r="T149" s="1560">
        <f>ROUND(IPMT(($AA$3%+0.35%)/11,1,$D$171-$D$160+1,$P$172-(SUM($P$4:P148)))*-1,2)</f>
        <v>0</v>
      </c>
      <c r="U149" s="1560"/>
      <c r="V149" s="1560"/>
      <c r="W149" s="1560"/>
      <c r="Y149" s="739"/>
      <c r="Z149" s="737"/>
    </row>
    <row r="150" spans="1:26" ht="14.1" customHeight="1">
      <c r="A150" s="1552">
        <v>63</v>
      </c>
      <c r="B150" s="1553"/>
      <c r="C150" s="1553"/>
      <c r="D150" s="1557">
        <f t="shared" ref="D150:D159" si="12">$D$148</f>
        <v>2026</v>
      </c>
      <c r="E150" s="1557"/>
      <c r="F150" s="1557"/>
      <c r="G150" s="1557"/>
      <c r="H150" s="1557" t="s">
        <v>339</v>
      </c>
      <c r="I150" s="1557"/>
      <c r="J150" s="1557"/>
      <c r="K150" s="1557"/>
      <c r="L150" s="1557"/>
      <c r="M150" s="1557"/>
      <c r="N150" s="1557"/>
      <c r="O150" s="1557"/>
      <c r="P150" s="1558">
        <v>0</v>
      </c>
      <c r="Q150" s="1559"/>
      <c r="R150" s="1559"/>
      <c r="S150" s="1559"/>
      <c r="T150" s="1560">
        <f>ROUND(IPMT(($AA$3%+0.35%)/11,1,$D$171-$D$160+1,$P$172-(SUM($P$4:P149)))*-1,2)</f>
        <v>0</v>
      </c>
      <c r="U150" s="1560"/>
      <c r="V150" s="1560"/>
      <c r="W150" s="1560"/>
      <c r="Y150" s="739"/>
      <c r="Z150" s="737"/>
    </row>
    <row r="151" spans="1:26" ht="14.1" customHeight="1">
      <c r="A151" s="1552">
        <v>64</v>
      </c>
      <c r="B151" s="1553"/>
      <c r="C151" s="1553"/>
      <c r="D151" s="1557">
        <f t="shared" si="12"/>
        <v>2026</v>
      </c>
      <c r="E151" s="1557"/>
      <c r="F151" s="1557"/>
      <c r="G151" s="1557"/>
      <c r="H151" s="1557" t="s">
        <v>340</v>
      </c>
      <c r="I151" s="1557"/>
      <c r="J151" s="1557"/>
      <c r="K151" s="1557"/>
      <c r="L151" s="1557"/>
      <c r="M151" s="1557"/>
      <c r="N151" s="1557"/>
      <c r="O151" s="1557"/>
      <c r="P151" s="1558">
        <v>0</v>
      </c>
      <c r="Q151" s="1559"/>
      <c r="R151" s="1559"/>
      <c r="S151" s="1559"/>
      <c r="T151" s="1560">
        <f>ROUND(IPMT(($AA$3%+0.35%)/11,1,$D$171-$D$160+1,$P$172-(SUM($P$4:P150)))*-1,2)</f>
        <v>0</v>
      </c>
      <c r="U151" s="1560"/>
      <c r="V151" s="1560"/>
      <c r="W151" s="1560"/>
      <c r="Y151" s="739"/>
      <c r="Z151" s="737"/>
    </row>
    <row r="152" spans="1:26" ht="14.1" customHeight="1">
      <c r="A152" s="1552">
        <v>65</v>
      </c>
      <c r="B152" s="1553"/>
      <c r="C152" s="1553"/>
      <c r="D152" s="1557">
        <f t="shared" si="12"/>
        <v>2026</v>
      </c>
      <c r="E152" s="1557"/>
      <c r="F152" s="1557"/>
      <c r="G152" s="1557"/>
      <c r="H152" s="1557" t="s">
        <v>341</v>
      </c>
      <c r="I152" s="1557"/>
      <c r="J152" s="1557"/>
      <c r="K152" s="1557"/>
      <c r="L152" s="1557"/>
      <c r="M152" s="1557"/>
      <c r="N152" s="1557"/>
      <c r="O152" s="1557"/>
      <c r="P152" s="1558">
        <v>0</v>
      </c>
      <c r="Q152" s="1559"/>
      <c r="R152" s="1559"/>
      <c r="S152" s="1559"/>
      <c r="T152" s="1560">
        <f>ROUND(IPMT(($AA$3%+0.35%)/11,1,$D$171-$D$160+1,$P$172-(SUM($P$4:P151)))*-1,2)</f>
        <v>0</v>
      </c>
      <c r="U152" s="1560"/>
      <c r="V152" s="1560"/>
      <c r="W152" s="1560"/>
      <c r="Y152" s="739"/>
      <c r="Z152" s="737"/>
    </row>
    <row r="153" spans="1:26" ht="14.1" customHeight="1">
      <c r="A153" s="1552">
        <v>66</v>
      </c>
      <c r="B153" s="1553"/>
      <c r="C153" s="1553"/>
      <c r="D153" s="1557">
        <f t="shared" si="12"/>
        <v>2026</v>
      </c>
      <c r="E153" s="1557"/>
      <c r="F153" s="1557"/>
      <c r="G153" s="1557"/>
      <c r="H153" s="1557" t="s">
        <v>342</v>
      </c>
      <c r="I153" s="1557"/>
      <c r="J153" s="1557"/>
      <c r="K153" s="1557"/>
      <c r="L153" s="1557"/>
      <c r="M153" s="1557"/>
      <c r="N153" s="1557"/>
      <c r="O153" s="1557"/>
      <c r="P153" s="1558">
        <v>0</v>
      </c>
      <c r="Q153" s="1559"/>
      <c r="R153" s="1559"/>
      <c r="S153" s="1559"/>
      <c r="T153" s="1560">
        <f>ROUND(IPMT(($AA$3%+0.35%)/11,1,$D$171-$D$160+1,$P$172-(SUM($P$4:P152)))*-1,2)</f>
        <v>0</v>
      </c>
      <c r="U153" s="1560"/>
      <c r="V153" s="1560"/>
      <c r="W153" s="1560"/>
      <c r="Y153" s="739"/>
      <c r="Z153" s="737"/>
    </row>
    <row r="154" spans="1:26" ht="14.1" customHeight="1">
      <c r="A154" s="1552">
        <v>67</v>
      </c>
      <c r="B154" s="1553"/>
      <c r="C154" s="1553"/>
      <c r="D154" s="1557">
        <f t="shared" si="12"/>
        <v>2026</v>
      </c>
      <c r="E154" s="1557"/>
      <c r="F154" s="1557"/>
      <c r="G154" s="1557"/>
      <c r="H154" s="1557" t="s">
        <v>343</v>
      </c>
      <c r="I154" s="1557"/>
      <c r="J154" s="1557"/>
      <c r="K154" s="1557"/>
      <c r="L154" s="1557"/>
      <c r="M154" s="1557"/>
      <c r="N154" s="1557"/>
      <c r="O154" s="1557"/>
      <c r="P154" s="1558">
        <v>0</v>
      </c>
      <c r="Q154" s="1559"/>
      <c r="R154" s="1559"/>
      <c r="S154" s="1559"/>
      <c r="T154" s="1560">
        <f>ROUND(IPMT(($AA$3%+0.35%)/11,1,$D$171-$D$160+1,$P$172-(SUM($P$4:P153)))*-1,2)</f>
        <v>0</v>
      </c>
      <c r="U154" s="1560"/>
      <c r="V154" s="1560"/>
      <c r="W154" s="1560"/>
      <c r="Y154" s="739"/>
      <c r="Z154" s="737"/>
    </row>
    <row r="155" spans="1:26" ht="14.1" customHeight="1">
      <c r="A155" s="1552">
        <v>68</v>
      </c>
      <c r="B155" s="1553"/>
      <c r="C155" s="1553"/>
      <c r="D155" s="1557">
        <f t="shared" si="12"/>
        <v>2026</v>
      </c>
      <c r="E155" s="1557"/>
      <c r="F155" s="1557"/>
      <c r="G155" s="1557"/>
      <c r="H155" s="1557" t="s">
        <v>344</v>
      </c>
      <c r="I155" s="1557"/>
      <c r="J155" s="1557"/>
      <c r="K155" s="1557"/>
      <c r="L155" s="1557"/>
      <c r="M155" s="1557"/>
      <c r="N155" s="1557"/>
      <c r="O155" s="1557"/>
      <c r="P155" s="1558">
        <v>0</v>
      </c>
      <c r="Q155" s="1559"/>
      <c r="R155" s="1559"/>
      <c r="S155" s="1559"/>
      <c r="T155" s="1560">
        <f>ROUND(IPMT(($AA$3%+0.35%)/11,1,$D$171-$D$160+1,$P$172-(SUM($P$4:P154)))*-1,2)</f>
        <v>0</v>
      </c>
      <c r="U155" s="1560"/>
      <c r="V155" s="1560"/>
      <c r="W155" s="1560"/>
      <c r="Y155" s="739"/>
      <c r="Z155" s="737"/>
    </row>
    <row r="156" spans="1:26" ht="14.1" customHeight="1">
      <c r="A156" s="1552">
        <v>69</v>
      </c>
      <c r="B156" s="1553"/>
      <c r="C156" s="1553"/>
      <c r="D156" s="1557">
        <f t="shared" si="12"/>
        <v>2026</v>
      </c>
      <c r="E156" s="1557"/>
      <c r="F156" s="1557"/>
      <c r="G156" s="1557"/>
      <c r="H156" s="1557" t="s">
        <v>345</v>
      </c>
      <c r="I156" s="1557"/>
      <c r="J156" s="1557"/>
      <c r="K156" s="1557"/>
      <c r="L156" s="1557"/>
      <c r="M156" s="1557"/>
      <c r="N156" s="1557"/>
      <c r="O156" s="1557"/>
      <c r="P156" s="1558">
        <v>0</v>
      </c>
      <c r="Q156" s="1559"/>
      <c r="R156" s="1559"/>
      <c r="S156" s="1559"/>
      <c r="T156" s="1560">
        <f>ROUND(IPMT(($AA$3%+0.35%)/11,1,$D$171-$D$160+1,$P$172-(SUM($P$4:P155)))*-1,2)</f>
        <v>0</v>
      </c>
      <c r="U156" s="1560"/>
      <c r="V156" s="1560"/>
      <c r="W156" s="1560"/>
      <c r="Y156" s="739"/>
      <c r="Z156" s="737"/>
    </row>
    <row r="157" spans="1:26" ht="14.1" customHeight="1">
      <c r="A157" s="1552">
        <v>70</v>
      </c>
      <c r="B157" s="1553"/>
      <c r="C157" s="1553"/>
      <c r="D157" s="1557">
        <f t="shared" si="12"/>
        <v>2026</v>
      </c>
      <c r="E157" s="1557"/>
      <c r="F157" s="1557"/>
      <c r="G157" s="1557"/>
      <c r="H157" s="1557" t="s">
        <v>346</v>
      </c>
      <c r="I157" s="1557"/>
      <c r="J157" s="1557"/>
      <c r="K157" s="1557"/>
      <c r="L157" s="1557"/>
      <c r="M157" s="1557"/>
      <c r="N157" s="1557"/>
      <c r="O157" s="1557"/>
      <c r="P157" s="1558">
        <v>0</v>
      </c>
      <c r="Q157" s="1559"/>
      <c r="R157" s="1559"/>
      <c r="S157" s="1559"/>
      <c r="T157" s="1560">
        <f>ROUND(IPMT(($AA$3%+0.35%)/11,1,$D$171-$D$160+1,$P$172-(SUM($P$4:P156)))*-1,2)</f>
        <v>0</v>
      </c>
      <c r="U157" s="1560"/>
      <c r="V157" s="1560"/>
      <c r="W157" s="1560"/>
      <c r="Y157" s="739"/>
      <c r="Z157" s="737"/>
    </row>
    <row r="158" spans="1:26" s="743" customFormat="1" ht="14.1" customHeight="1">
      <c r="A158" s="1576">
        <v>71</v>
      </c>
      <c r="B158" s="1577"/>
      <c r="C158" s="1577"/>
      <c r="D158" s="1578">
        <f t="shared" si="12"/>
        <v>2026</v>
      </c>
      <c r="E158" s="1578"/>
      <c r="F158" s="1578"/>
      <c r="G158" s="1578"/>
      <c r="H158" s="1578" t="s">
        <v>347</v>
      </c>
      <c r="I158" s="1578"/>
      <c r="J158" s="1578"/>
      <c r="K158" s="1578"/>
      <c r="L158" s="1578"/>
      <c r="M158" s="1578"/>
      <c r="N158" s="1578"/>
      <c r="O158" s="1578"/>
      <c r="P158" s="1579">
        <v>0</v>
      </c>
      <c r="Q158" s="1580"/>
      <c r="R158" s="1580"/>
      <c r="S158" s="1580"/>
      <c r="T158" s="1581">
        <f>ROUND(IPMT(($AA$3%+0.35%)/11,1,$D$171-$D$160+1,$P$172-(SUM($P$4:P157)))*-1,2)</f>
        <v>0</v>
      </c>
      <c r="U158" s="1581"/>
      <c r="V158" s="1581"/>
      <c r="W158" s="1581"/>
      <c r="Y158" s="745"/>
      <c r="Z158" s="744"/>
    </row>
    <row r="159" spans="1:26" ht="14.1" customHeight="1">
      <c r="A159" s="1570">
        <v>72</v>
      </c>
      <c r="B159" s="1571"/>
      <c r="C159" s="1571"/>
      <c r="D159" s="1557">
        <f t="shared" si="12"/>
        <v>2026</v>
      </c>
      <c r="E159" s="1557"/>
      <c r="F159" s="1557"/>
      <c r="G159" s="1557"/>
      <c r="H159" s="1572" t="s">
        <v>348</v>
      </c>
      <c r="I159" s="1572"/>
      <c r="J159" s="1572"/>
      <c r="K159" s="1572"/>
      <c r="L159" s="1572"/>
      <c r="M159" s="1572"/>
      <c r="N159" s="1572"/>
      <c r="O159" s="1572"/>
      <c r="P159" s="1573">
        <v>0</v>
      </c>
      <c r="Q159" s="1574"/>
      <c r="R159" s="1574"/>
      <c r="S159" s="1574"/>
      <c r="T159" s="1575">
        <f>ROUND(IPMT(($AA$3%+0.35%)/11,1,$D$171-$D$160+1,$P$172-(SUM($P$4:P158)))*-1,2)</f>
        <v>0</v>
      </c>
      <c r="U159" s="1575"/>
      <c r="V159" s="1575"/>
      <c r="W159" s="1575"/>
      <c r="Y159" s="740">
        <f>SUM(T148:W159)</f>
        <v>0</v>
      </c>
      <c r="Z159" s="737"/>
    </row>
    <row r="160" spans="1:26" ht="14.1" customHeight="1">
      <c r="A160" s="1552">
        <v>61</v>
      </c>
      <c r="B160" s="1553"/>
      <c r="C160" s="1553"/>
      <c r="D160" s="1557">
        <f>D148+1</f>
        <v>2027</v>
      </c>
      <c r="E160" s="1557"/>
      <c r="F160" s="1557"/>
      <c r="G160" s="1557"/>
      <c r="H160" s="1557" t="s">
        <v>337</v>
      </c>
      <c r="I160" s="1557"/>
      <c r="J160" s="1557"/>
      <c r="K160" s="1557"/>
      <c r="L160" s="1557"/>
      <c r="M160" s="1557"/>
      <c r="N160" s="1557"/>
      <c r="O160" s="1557"/>
      <c r="P160" s="1558">
        <v>0</v>
      </c>
      <c r="Q160" s="1559"/>
      <c r="R160" s="1559"/>
      <c r="S160" s="1559"/>
      <c r="T160" s="1560">
        <f>ROUND(IPMT(($AA$3%+0.35%)/11,1,$D$171-$D$124+1,$P$172-(SUM($P$4:P159)))*-1,2)</f>
        <v>0</v>
      </c>
      <c r="U160" s="1560"/>
      <c r="V160" s="1560"/>
      <c r="W160" s="1560"/>
    </row>
    <row r="161" spans="1:53" ht="14.1" customHeight="1">
      <c r="A161" s="1552">
        <v>62</v>
      </c>
      <c r="B161" s="1553"/>
      <c r="C161" s="1553"/>
      <c r="D161" s="1557">
        <f>$D$160</f>
        <v>2027</v>
      </c>
      <c r="E161" s="1557"/>
      <c r="F161" s="1557"/>
      <c r="G161" s="1557"/>
      <c r="H161" s="1557" t="s">
        <v>338</v>
      </c>
      <c r="I161" s="1557"/>
      <c r="J161" s="1557"/>
      <c r="K161" s="1557"/>
      <c r="L161" s="1557"/>
      <c r="M161" s="1557"/>
      <c r="N161" s="1557"/>
      <c r="O161" s="1557"/>
      <c r="P161" s="1558">
        <v>0</v>
      </c>
      <c r="Q161" s="1559"/>
      <c r="R161" s="1559"/>
      <c r="S161" s="1559"/>
      <c r="T161" s="1560">
        <f>ROUND(IPMT(($AA$3%+0.35%)/11,1,$D$171-$D$160+1,$P$172-(SUM($P$4:P160)))*-1,2)</f>
        <v>0</v>
      </c>
      <c r="U161" s="1560"/>
      <c r="V161" s="1560"/>
      <c r="W161" s="1560"/>
    </row>
    <row r="162" spans="1:53" ht="14.1" customHeight="1">
      <c r="A162" s="1552">
        <v>63</v>
      </c>
      <c r="B162" s="1553"/>
      <c r="C162" s="1553"/>
      <c r="D162" s="1557">
        <f t="shared" ref="D162:D171" si="13">$D$160</f>
        <v>2027</v>
      </c>
      <c r="E162" s="1557"/>
      <c r="F162" s="1557"/>
      <c r="G162" s="1557"/>
      <c r="H162" s="1557" t="s">
        <v>339</v>
      </c>
      <c r="I162" s="1557"/>
      <c r="J162" s="1557"/>
      <c r="K162" s="1557"/>
      <c r="L162" s="1557"/>
      <c r="M162" s="1557"/>
      <c r="N162" s="1557"/>
      <c r="O162" s="1557"/>
      <c r="P162" s="1558">
        <v>0</v>
      </c>
      <c r="Q162" s="1559"/>
      <c r="R162" s="1559"/>
      <c r="S162" s="1559"/>
      <c r="T162" s="1560">
        <f>ROUND(IPMT(($AA$3%+0.35%)/11,1,$D$171-$D$160+1,$P$172-(SUM($P$4:P161)))*-1,2)</f>
        <v>0</v>
      </c>
      <c r="U162" s="1560"/>
      <c r="V162" s="1560"/>
      <c r="W162" s="1560"/>
    </row>
    <row r="163" spans="1:53" ht="14.1" customHeight="1">
      <c r="A163" s="1552">
        <v>64</v>
      </c>
      <c r="B163" s="1553"/>
      <c r="C163" s="1553"/>
      <c r="D163" s="1557">
        <f t="shared" si="13"/>
        <v>2027</v>
      </c>
      <c r="E163" s="1557"/>
      <c r="F163" s="1557"/>
      <c r="G163" s="1557"/>
      <c r="H163" s="1557" t="s">
        <v>340</v>
      </c>
      <c r="I163" s="1557"/>
      <c r="J163" s="1557"/>
      <c r="K163" s="1557"/>
      <c r="L163" s="1557"/>
      <c r="M163" s="1557"/>
      <c r="N163" s="1557"/>
      <c r="O163" s="1557"/>
      <c r="P163" s="1558">
        <v>0</v>
      </c>
      <c r="Q163" s="1559"/>
      <c r="R163" s="1559"/>
      <c r="S163" s="1559"/>
      <c r="T163" s="1560">
        <f>ROUND(IPMT(($AA$3%+0.35%)/11,1,$D$171-$D$160+1,$P$172-(SUM($P$4:P162)))*-1,2)</f>
        <v>0</v>
      </c>
      <c r="U163" s="1560"/>
      <c r="V163" s="1560"/>
      <c r="W163" s="1560"/>
    </row>
    <row r="164" spans="1:53" ht="14.1" customHeight="1">
      <c r="A164" s="1552">
        <v>65</v>
      </c>
      <c r="B164" s="1553"/>
      <c r="C164" s="1553"/>
      <c r="D164" s="1557">
        <f t="shared" si="13"/>
        <v>2027</v>
      </c>
      <c r="E164" s="1557"/>
      <c r="F164" s="1557"/>
      <c r="G164" s="1557"/>
      <c r="H164" s="1557" t="s">
        <v>341</v>
      </c>
      <c r="I164" s="1557"/>
      <c r="J164" s="1557"/>
      <c r="K164" s="1557"/>
      <c r="L164" s="1557"/>
      <c r="M164" s="1557"/>
      <c r="N164" s="1557"/>
      <c r="O164" s="1557"/>
      <c r="P164" s="1558">
        <v>0</v>
      </c>
      <c r="Q164" s="1559"/>
      <c r="R164" s="1559"/>
      <c r="S164" s="1559"/>
      <c r="T164" s="1560">
        <f>ROUND(IPMT(($AA$3%+0.35%)/11,1,$D$171-$D$160+1,$P$172-(SUM($P$4:P163)))*-1,2)</f>
        <v>0</v>
      </c>
      <c r="U164" s="1560"/>
      <c r="V164" s="1560"/>
      <c r="W164" s="1560"/>
    </row>
    <row r="165" spans="1:53" ht="14.1" customHeight="1">
      <c r="A165" s="1552">
        <v>66</v>
      </c>
      <c r="B165" s="1553"/>
      <c r="C165" s="1553"/>
      <c r="D165" s="1557">
        <f t="shared" si="13"/>
        <v>2027</v>
      </c>
      <c r="E165" s="1557"/>
      <c r="F165" s="1557"/>
      <c r="G165" s="1557"/>
      <c r="H165" s="1557" t="s">
        <v>342</v>
      </c>
      <c r="I165" s="1557"/>
      <c r="J165" s="1557"/>
      <c r="K165" s="1557"/>
      <c r="L165" s="1557"/>
      <c r="M165" s="1557"/>
      <c r="N165" s="1557"/>
      <c r="O165" s="1557"/>
      <c r="P165" s="1558">
        <v>0</v>
      </c>
      <c r="Q165" s="1559"/>
      <c r="R165" s="1559"/>
      <c r="S165" s="1559"/>
      <c r="T165" s="1560">
        <f>ROUND(IPMT(($AA$3%+0.35%)/11,1,$D$171-$D$160+1,$P$172-(SUM($P$4:P164)))*-1,2)</f>
        <v>0</v>
      </c>
      <c r="U165" s="1560"/>
      <c r="V165" s="1560"/>
      <c r="W165" s="1560"/>
    </row>
    <row r="166" spans="1:53" ht="14.1" customHeight="1">
      <c r="A166" s="1552">
        <v>67</v>
      </c>
      <c r="B166" s="1553"/>
      <c r="C166" s="1553"/>
      <c r="D166" s="1557">
        <f t="shared" si="13"/>
        <v>2027</v>
      </c>
      <c r="E166" s="1557"/>
      <c r="F166" s="1557"/>
      <c r="G166" s="1557"/>
      <c r="H166" s="1557" t="s">
        <v>343</v>
      </c>
      <c r="I166" s="1557"/>
      <c r="J166" s="1557"/>
      <c r="K166" s="1557"/>
      <c r="L166" s="1557"/>
      <c r="M166" s="1557"/>
      <c r="N166" s="1557"/>
      <c r="O166" s="1557"/>
      <c r="P166" s="1558">
        <v>0</v>
      </c>
      <c r="Q166" s="1559"/>
      <c r="R166" s="1559"/>
      <c r="S166" s="1559"/>
      <c r="T166" s="1560">
        <f>ROUND(IPMT(($AA$3%+0.35%)/11,1,$D$171-$D$160+1,$P$172-(SUM($P$4:P165)))*-1,2)</f>
        <v>0</v>
      </c>
      <c r="U166" s="1560"/>
      <c r="V166" s="1560"/>
      <c r="W166" s="1560"/>
    </row>
    <row r="167" spans="1:53" ht="14.1" customHeight="1">
      <c r="A167" s="1552">
        <v>68</v>
      </c>
      <c r="B167" s="1553"/>
      <c r="C167" s="1553"/>
      <c r="D167" s="1557">
        <f t="shared" si="13"/>
        <v>2027</v>
      </c>
      <c r="E167" s="1557"/>
      <c r="F167" s="1557"/>
      <c r="G167" s="1557"/>
      <c r="H167" s="1557" t="s">
        <v>344</v>
      </c>
      <c r="I167" s="1557"/>
      <c r="J167" s="1557"/>
      <c r="K167" s="1557"/>
      <c r="L167" s="1557"/>
      <c r="M167" s="1557"/>
      <c r="N167" s="1557"/>
      <c r="O167" s="1557"/>
      <c r="P167" s="1558">
        <v>0</v>
      </c>
      <c r="Q167" s="1559"/>
      <c r="R167" s="1559"/>
      <c r="S167" s="1559"/>
      <c r="T167" s="1560">
        <f>ROUND(IPMT(($AA$3%+0.35%)/11,1,$D$171-$D$160+1,$P$172-(SUM($P$4:P166)))*-1,2)</f>
        <v>0</v>
      </c>
      <c r="U167" s="1560"/>
      <c r="V167" s="1560"/>
      <c r="W167" s="1560"/>
    </row>
    <row r="168" spans="1:53" ht="14.1" customHeight="1">
      <c r="A168" s="1552">
        <v>69</v>
      </c>
      <c r="B168" s="1553"/>
      <c r="C168" s="1553"/>
      <c r="D168" s="1557">
        <f t="shared" si="13"/>
        <v>2027</v>
      </c>
      <c r="E168" s="1557"/>
      <c r="F168" s="1557"/>
      <c r="G168" s="1557"/>
      <c r="H168" s="1557" t="s">
        <v>345</v>
      </c>
      <c r="I168" s="1557"/>
      <c r="J168" s="1557"/>
      <c r="K168" s="1557"/>
      <c r="L168" s="1557"/>
      <c r="M168" s="1557"/>
      <c r="N168" s="1557"/>
      <c r="O168" s="1557"/>
      <c r="P168" s="1558">
        <v>0</v>
      </c>
      <c r="Q168" s="1559"/>
      <c r="R168" s="1559"/>
      <c r="S168" s="1559"/>
      <c r="T168" s="1560">
        <f>ROUND(IPMT(($AA$3%+0.35%)/11,1,$D$171-$D$160+1,$P$172-(SUM($P$4:P167)))*-1,2)</f>
        <v>0</v>
      </c>
      <c r="U168" s="1560"/>
      <c r="V168" s="1560"/>
      <c r="W168" s="1560"/>
    </row>
    <row r="169" spans="1:53" ht="14.1" customHeight="1">
      <c r="A169" s="1552">
        <v>70</v>
      </c>
      <c r="B169" s="1553"/>
      <c r="C169" s="1553"/>
      <c r="D169" s="1557">
        <f t="shared" si="13"/>
        <v>2027</v>
      </c>
      <c r="E169" s="1557"/>
      <c r="F169" s="1557"/>
      <c r="G169" s="1557"/>
      <c r="H169" s="1557" t="s">
        <v>346</v>
      </c>
      <c r="I169" s="1557"/>
      <c r="J169" s="1557"/>
      <c r="K169" s="1557"/>
      <c r="L169" s="1557"/>
      <c r="M169" s="1557"/>
      <c r="N169" s="1557"/>
      <c r="O169" s="1557"/>
      <c r="P169" s="1558">
        <v>0</v>
      </c>
      <c r="Q169" s="1559"/>
      <c r="R169" s="1559"/>
      <c r="S169" s="1559"/>
      <c r="T169" s="1560">
        <f>ROUND(IPMT(($AA$3%+0.35%)/11,1,$D$171-$D$160+1,$P$172-(SUM($P$4:P168)))*-1,2)</f>
        <v>0</v>
      </c>
      <c r="U169" s="1560"/>
      <c r="V169" s="1560"/>
      <c r="W169" s="1560"/>
    </row>
    <row r="170" spans="1:53" s="743" customFormat="1" ht="14.1" customHeight="1">
      <c r="A170" s="1576">
        <v>71</v>
      </c>
      <c r="B170" s="1577"/>
      <c r="C170" s="1577"/>
      <c r="D170" s="1578">
        <f t="shared" si="13"/>
        <v>2027</v>
      </c>
      <c r="E170" s="1578"/>
      <c r="F170" s="1578"/>
      <c r="G170" s="1578"/>
      <c r="H170" s="1578" t="s">
        <v>347</v>
      </c>
      <c r="I170" s="1578"/>
      <c r="J170" s="1578"/>
      <c r="K170" s="1578"/>
      <c r="L170" s="1578"/>
      <c r="M170" s="1578"/>
      <c r="N170" s="1578"/>
      <c r="O170" s="1578"/>
      <c r="P170" s="1579">
        <v>0</v>
      </c>
      <c r="Q170" s="1580"/>
      <c r="R170" s="1580"/>
      <c r="S170" s="1580"/>
      <c r="T170" s="1581">
        <f>ROUND(IPMT(($AA$3%+0.35%)/11,1,$D$171-$D$160+1,$P$172-(SUM($P$4:P169)))*-1,2)</f>
        <v>0</v>
      </c>
      <c r="U170" s="1581"/>
      <c r="V170" s="1581"/>
      <c r="W170" s="1581"/>
    </row>
    <row r="171" spans="1:53" ht="14.1" customHeight="1">
      <c r="A171" s="1570">
        <v>72</v>
      </c>
      <c r="B171" s="1571"/>
      <c r="C171" s="1571"/>
      <c r="D171" s="1572">
        <f t="shared" si="13"/>
        <v>2027</v>
      </c>
      <c r="E171" s="1572"/>
      <c r="F171" s="1572"/>
      <c r="G171" s="1572"/>
      <c r="H171" s="1572" t="s">
        <v>348</v>
      </c>
      <c r="I171" s="1572"/>
      <c r="J171" s="1572"/>
      <c r="K171" s="1572"/>
      <c r="L171" s="1572"/>
      <c r="M171" s="1572"/>
      <c r="N171" s="1572"/>
      <c r="O171" s="1572"/>
      <c r="P171" s="1573">
        <v>0</v>
      </c>
      <c r="Q171" s="1574"/>
      <c r="R171" s="1574"/>
      <c r="S171" s="1574"/>
      <c r="T171" s="1575">
        <f>ROUND(IPMT(($AA$3%+0.35%)/11,1,$D$171-$D$160+1,$P$172-(SUM($P$4:P170)))*-1,2)</f>
        <v>0</v>
      </c>
      <c r="U171" s="1575"/>
      <c r="V171" s="1575"/>
      <c r="W171" s="1575"/>
      <c r="Y171" s="740">
        <f>SUM(T160:W171)</f>
        <v>0</v>
      </c>
    </row>
    <row r="172" spans="1:53" ht="14.1" customHeight="1">
      <c r="A172" s="1561" t="s">
        <v>349</v>
      </c>
      <c r="B172" s="1562"/>
      <c r="C172" s="1562"/>
      <c r="D172" s="1562"/>
      <c r="E172" s="1562"/>
      <c r="F172" s="1562"/>
      <c r="G172" s="1562"/>
      <c r="H172" s="1562"/>
      <c r="I172" s="1562"/>
      <c r="J172" s="1562"/>
      <c r="K172" s="1562"/>
      <c r="L172" s="1562"/>
      <c r="M172" s="1562"/>
      <c r="N172" s="1562"/>
      <c r="O172" s="1563"/>
      <c r="P172" s="1564">
        <f>SUM(P4:P171)</f>
        <v>545522.93999999994</v>
      </c>
      <c r="Q172" s="1565"/>
      <c r="R172" s="1565"/>
      <c r="S172" s="1566"/>
      <c r="T172" s="1567">
        <f>SUM(T4:T171)</f>
        <v>313377.90261272684</v>
      </c>
      <c r="U172" s="1568"/>
      <c r="V172" s="1565"/>
      <c r="W172" s="1566"/>
    </row>
    <row r="173" spans="1:53">
      <c r="A173" s="1569"/>
      <c r="B173" s="1569"/>
      <c r="C173" s="1569"/>
      <c r="D173" s="1569"/>
      <c r="E173" s="1569"/>
      <c r="F173" s="1569"/>
      <c r="G173" s="1569"/>
      <c r="H173" s="1569"/>
      <c r="I173" s="1569"/>
      <c r="J173" s="1569"/>
      <c r="K173" s="1569"/>
      <c r="L173" s="1569"/>
      <c r="M173" s="1569"/>
      <c r="N173" s="1569"/>
      <c r="O173" s="1569"/>
      <c r="P173" s="1569"/>
      <c r="Q173" s="1569"/>
      <c r="R173" s="1569"/>
      <c r="S173" s="1569"/>
      <c r="T173" s="1569"/>
      <c r="U173" s="1569"/>
      <c r="V173" s="1569"/>
      <c r="W173" s="1569"/>
      <c r="Y173" s="738"/>
      <c r="Z173" s="738"/>
      <c r="AA173" s="738"/>
      <c r="AB173" s="738"/>
      <c r="AC173" s="738"/>
      <c r="AD173" s="738"/>
      <c r="AE173" s="738"/>
      <c r="AF173" s="738"/>
      <c r="AG173" s="738"/>
      <c r="AH173" s="738"/>
      <c r="AI173" s="738"/>
      <c r="AJ173" s="738"/>
      <c r="AK173" s="738"/>
      <c r="AL173" s="738"/>
      <c r="AM173" s="738"/>
      <c r="AN173" s="738"/>
      <c r="AO173" s="738"/>
      <c r="AP173" s="738"/>
      <c r="AQ173" s="738"/>
      <c r="AR173" s="738"/>
      <c r="AS173" s="738"/>
      <c r="AT173" s="738"/>
      <c r="AU173" s="738"/>
      <c r="AV173" s="738"/>
      <c r="AW173" s="738"/>
      <c r="AX173" s="738"/>
      <c r="AY173" s="738"/>
      <c r="AZ173" s="738"/>
      <c r="BA173" s="738"/>
    </row>
    <row r="174" spans="1:53" ht="9" customHeight="1"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</row>
    <row r="175" spans="1:53" ht="9" customHeight="1">
      <c r="Y175" s="738"/>
      <c r="Z175" s="738"/>
      <c r="AA175" s="738"/>
      <c r="AB175" s="738"/>
      <c r="AC175" s="738"/>
      <c r="AD175" s="738"/>
      <c r="AE175" s="738"/>
      <c r="AF175" s="738"/>
      <c r="AG175" s="738"/>
      <c r="AH175" s="738"/>
      <c r="AI175" s="738"/>
      <c r="AJ175" s="738"/>
      <c r="AK175" s="738"/>
      <c r="AL175" s="738"/>
      <c r="AM175" s="738"/>
      <c r="AN175" s="738"/>
      <c r="AO175" s="738"/>
      <c r="AP175" s="738"/>
      <c r="AQ175" s="738"/>
      <c r="AR175" s="738"/>
      <c r="AS175" s="738"/>
      <c r="AT175" s="738"/>
      <c r="AU175" s="738"/>
      <c r="AV175" s="738"/>
      <c r="AW175" s="738"/>
      <c r="AX175" s="738"/>
      <c r="AY175" s="738"/>
      <c r="AZ175" s="738"/>
      <c r="BA175" s="738"/>
    </row>
    <row r="176" spans="1:53">
      <c r="Y176" s="738"/>
      <c r="Z176" s="738"/>
      <c r="AA176" s="738"/>
      <c r="AB176" s="738"/>
      <c r="AC176" s="738"/>
      <c r="AD176" s="738"/>
      <c r="AE176" s="738"/>
      <c r="AF176" s="738"/>
      <c r="AG176" s="738"/>
      <c r="AH176" s="738"/>
      <c r="AI176" s="738"/>
      <c r="AJ176" s="738"/>
      <c r="AK176" s="738"/>
      <c r="AL176" s="738"/>
      <c r="AM176" s="738"/>
      <c r="AN176" s="738"/>
      <c r="AO176" s="738"/>
      <c r="AP176" s="738"/>
      <c r="AQ176" s="738"/>
      <c r="AR176" s="738"/>
      <c r="AS176" s="738"/>
      <c r="AT176" s="738"/>
      <c r="AU176" s="738"/>
      <c r="AV176" s="738"/>
      <c r="AW176" s="738"/>
      <c r="AX176" s="738"/>
      <c r="AY176" s="738"/>
      <c r="AZ176" s="738"/>
      <c r="BA176" s="738"/>
    </row>
    <row r="177" spans="25:53">
      <c r="Y177" s="738"/>
      <c r="Z177" s="738"/>
      <c r="AA177" s="738"/>
      <c r="AB177" s="738"/>
      <c r="AC177" s="738"/>
      <c r="AD177" s="738"/>
      <c r="AE177" s="738"/>
      <c r="AF177" s="738"/>
      <c r="AG177" s="738"/>
      <c r="AH177" s="738"/>
      <c r="AI177" s="738"/>
      <c r="AJ177" s="738"/>
      <c r="AK177" s="738"/>
      <c r="AL177" s="738"/>
      <c r="AM177" s="738"/>
      <c r="AN177" s="738"/>
      <c r="AO177" s="738"/>
      <c r="AP177" s="738"/>
      <c r="AQ177" s="738"/>
      <c r="AR177" s="738"/>
      <c r="AS177" s="738"/>
      <c r="AT177" s="738"/>
      <c r="AU177" s="738"/>
      <c r="AV177" s="738"/>
      <c r="AW177" s="738"/>
      <c r="AX177" s="738"/>
      <c r="AY177" s="738"/>
      <c r="AZ177" s="738"/>
      <c r="BA177" s="738"/>
    </row>
  </sheetData>
  <sheetProtection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74"/>
  <sheetViews>
    <sheetView view="pageBreakPreview" zoomScale="85" zoomScaleNormal="85" zoomScaleSheetLayoutView="85" workbookViewId="0">
      <selection activeCell="R36" sqref="R36"/>
    </sheetView>
  </sheetViews>
  <sheetFormatPr defaultColWidth="9.140625" defaultRowHeight="0" customHeight="1" zeroHeight="1"/>
  <cols>
    <col min="1" max="1" width="3" style="312" customWidth="1"/>
    <col min="2" max="2" width="4.140625" style="312" customWidth="1"/>
    <col min="3" max="3" width="30.7109375" style="312" customWidth="1"/>
    <col min="4" max="4" width="15.7109375" style="358" customWidth="1"/>
    <col min="5" max="5" width="15.85546875" style="358" customWidth="1"/>
    <col min="6" max="16" width="15.7109375" style="358" customWidth="1"/>
    <col min="17" max="17" width="15.85546875" style="312" customWidth="1"/>
    <col min="18" max="18" width="15.85546875" style="157" customWidth="1"/>
    <col min="19" max="19" width="2.28515625" style="157" customWidth="1"/>
    <col min="20" max="20" width="9.140625" style="157" customWidth="1"/>
    <col min="21" max="16384" width="9.140625" style="157"/>
  </cols>
  <sheetData>
    <row r="1" spans="1:18" ht="12.75">
      <c r="M1" s="941" t="s">
        <v>264</v>
      </c>
      <c r="N1" s="941"/>
      <c r="O1" s="941"/>
      <c r="P1" s="941"/>
    </row>
    <row r="2" spans="1:18" ht="12.75"/>
    <row r="3" spans="1:18" ht="35.25">
      <c r="B3" s="942" t="s">
        <v>265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</row>
    <row r="4" spans="1:18" ht="13.5" thickBot="1"/>
    <row r="5" spans="1:18" ht="13.5" thickTop="1">
      <c r="B5" s="943" t="s">
        <v>221</v>
      </c>
      <c r="C5" s="945" t="s">
        <v>0</v>
      </c>
      <c r="D5" s="949" t="s">
        <v>222</v>
      </c>
      <c r="E5" s="949" t="s">
        <v>223</v>
      </c>
      <c r="F5" s="951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</row>
    <row r="6" spans="1:18" ht="12.75">
      <c r="B6" s="944"/>
      <c r="C6" s="946"/>
      <c r="D6" s="950"/>
      <c r="E6" s="950"/>
      <c r="F6" s="359">
        <v>2012</v>
      </c>
      <c r="G6" s="359">
        <f t="shared" ref="G6:R6" si="0">F6+1</f>
        <v>2013</v>
      </c>
      <c r="H6" s="359">
        <f t="shared" si="0"/>
        <v>2014</v>
      </c>
      <c r="I6" s="359">
        <f t="shared" si="0"/>
        <v>2015</v>
      </c>
      <c r="J6" s="359">
        <f t="shared" si="0"/>
        <v>2016</v>
      </c>
      <c r="K6" s="359">
        <f t="shared" si="0"/>
        <v>2017</v>
      </c>
      <c r="L6" s="359">
        <f t="shared" si="0"/>
        <v>2018</v>
      </c>
      <c r="M6" s="359">
        <f t="shared" si="0"/>
        <v>2019</v>
      </c>
      <c r="N6" s="359">
        <f t="shared" si="0"/>
        <v>2020</v>
      </c>
      <c r="O6" s="359">
        <f t="shared" si="0"/>
        <v>2021</v>
      </c>
      <c r="P6" s="359">
        <f t="shared" si="0"/>
        <v>2022</v>
      </c>
      <c r="Q6" s="359">
        <f t="shared" si="0"/>
        <v>2023</v>
      </c>
      <c r="R6" s="359">
        <f t="shared" si="0"/>
        <v>2024</v>
      </c>
    </row>
    <row r="7" spans="1:18" ht="12.75">
      <c r="B7" s="316"/>
      <c r="C7" s="317"/>
      <c r="D7" s="360"/>
      <c r="E7" s="360"/>
      <c r="F7" s="360"/>
      <c r="G7" s="360"/>
      <c r="H7" s="361"/>
      <c r="I7" s="362"/>
      <c r="J7" s="362"/>
      <c r="K7" s="362"/>
      <c r="L7" s="362"/>
      <c r="M7" s="362"/>
      <c r="N7" s="362"/>
      <c r="O7" s="362"/>
      <c r="P7" s="362"/>
      <c r="Q7" s="362"/>
      <c r="R7" s="769"/>
    </row>
    <row r="8" spans="1:18" s="765" customFormat="1" ht="12.75">
      <c r="A8" s="312"/>
      <c r="B8" s="323">
        <v>1</v>
      </c>
      <c r="C8" s="324" t="s">
        <v>224</v>
      </c>
      <c r="D8" s="325"/>
      <c r="E8" s="325"/>
      <c r="F8" s="746">
        <f>SUM(F9:F24)</f>
        <v>698867</v>
      </c>
      <c r="G8" s="746">
        <f t="shared" ref="G8:R8" si="1">SUM(G9:G24)</f>
        <v>660865</v>
      </c>
      <c r="H8" s="746">
        <f t="shared" si="1"/>
        <v>829928</v>
      </c>
      <c r="I8" s="746">
        <f t="shared" si="1"/>
        <v>1012100</v>
      </c>
      <c r="J8" s="746">
        <f t="shared" si="1"/>
        <v>818549</v>
      </c>
      <c r="K8" s="746">
        <f t="shared" si="1"/>
        <v>789237</v>
      </c>
      <c r="L8" s="746">
        <f t="shared" si="1"/>
        <v>738242</v>
      </c>
      <c r="M8" s="746">
        <f t="shared" si="1"/>
        <v>641424</v>
      </c>
      <c r="N8" s="746">
        <f t="shared" si="1"/>
        <v>621081</v>
      </c>
      <c r="O8" s="746">
        <f t="shared" si="1"/>
        <v>621081</v>
      </c>
      <c r="P8" s="746">
        <f t="shared" si="1"/>
        <v>621081</v>
      </c>
      <c r="Q8" s="746">
        <f t="shared" si="1"/>
        <v>621081</v>
      </c>
      <c r="R8" s="746">
        <f t="shared" si="1"/>
        <v>392549</v>
      </c>
    </row>
    <row r="9" spans="1:18" s="765" customFormat="1" ht="12.75">
      <c r="A9" s="312"/>
      <c r="B9" s="326" t="s">
        <v>37</v>
      </c>
      <c r="C9" s="327" t="s">
        <v>225</v>
      </c>
      <c r="D9" s="328">
        <v>518029</v>
      </c>
      <c r="E9" s="329">
        <v>2004</v>
      </c>
      <c r="F9" s="750">
        <f>'HSZ do złotówek'!G14</f>
        <v>57559</v>
      </c>
      <c r="G9" s="750">
        <f>'HSZ do złotówek'!I14</f>
        <v>57557</v>
      </c>
      <c r="H9" s="754">
        <f>'HSZ do złotówek'!K14</f>
        <v>0</v>
      </c>
      <c r="I9" s="754">
        <f>'HSZ do złotówek'!M14</f>
        <v>0</v>
      </c>
      <c r="J9" s="754">
        <f>'HSZ do złotówek'!O14</f>
        <v>0</v>
      </c>
      <c r="K9" s="754">
        <f>'HSZ do złotówek'!Q14</f>
        <v>0</v>
      </c>
      <c r="L9" s="754">
        <f>'HSZ do złotówek'!S14</f>
        <v>0</v>
      </c>
      <c r="M9" s="754">
        <f>'HSZ do złotówek'!U14</f>
        <v>0</v>
      </c>
      <c r="N9" s="754">
        <f>'HSZ do złotówek'!W14</f>
        <v>0</v>
      </c>
      <c r="O9" s="754">
        <f>'HSZ do złotówek'!Y14</f>
        <v>0</v>
      </c>
      <c r="P9" s="754">
        <f>'HSZ do złotówek'!AA14</f>
        <v>0</v>
      </c>
      <c r="Q9" s="754">
        <f>'HSZ do złotówek'!AC14</f>
        <v>0</v>
      </c>
      <c r="R9" s="770">
        <f>'HSZ do złotówek'!AE14</f>
        <v>0</v>
      </c>
    </row>
    <row r="10" spans="1:18" s="765" customFormat="1" ht="12.75">
      <c r="A10" s="312"/>
      <c r="B10" s="326" t="s">
        <v>38</v>
      </c>
      <c r="C10" s="327" t="s">
        <v>226</v>
      </c>
      <c r="D10" s="328">
        <v>1498996</v>
      </c>
      <c r="E10" s="329">
        <v>2005</v>
      </c>
      <c r="F10" s="750">
        <f>'HSZ do złotówek'!G15</f>
        <v>199880</v>
      </c>
      <c r="G10" s="750">
        <f>'HSZ do złotówek'!I15</f>
        <v>199880</v>
      </c>
      <c r="H10" s="754">
        <f>'HSZ do złotówek'!K15</f>
        <v>199880</v>
      </c>
      <c r="I10" s="754">
        <f>'HSZ do złotówek'!M15</f>
        <v>199776</v>
      </c>
      <c r="J10" s="754">
        <f>'HSZ do złotówek'!O15</f>
        <v>0</v>
      </c>
      <c r="K10" s="754">
        <f>'HSZ do złotówek'!Q15</f>
        <v>0</v>
      </c>
      <c r="L10" s="754">
        <f>'HSZ do złotówek'!S15</f>
        <v>0</v>
      </c>
      <c r="M10" s="754">
        <f>'HSZ do złotówek'!U15</f>
        <v>0</v>
      </c>
      <c r="N10" s="754">
        <f>'HSZ do złotówek'!W15</f>
        <v>0</v>
      </c>
      <c r="O10" s="754">
        <f>'HSZ do złotówek'!Y15</f>
        <v>0</v>
      </c>
      <c r="P10" s="754">
        <f>'HSZ do złotówek'!AA15</f>
        <v>0</v>
      </c>
      <c r="Q10" s="754">
        <f>'HSZ do złotówek'!AC15</f>
        <v>0</v>
      </c>
      <c r="R10" s="770">
        <f>'HSZ do złotówek'!AE15</f>
        <v>0</v>
      </c>
    </row>
    <row r="11" spans="1:18" s="765" customFormat="1" ht="12.75">
      <c r="A11" s="312"/>
      <c r="B11" s="326" t="s">
        <v>45</v>
      </c>
      <c r="C11" s="327" t="s">
        <v>227</v>
      </c>
      <c r="D11" s="328">
        <v>138349</v>
      </c>
      <c r="E11" s="329">
        <v>2008</v>
      </c>
      <c r="F11" s="750">
        <f>'HSZ do złotówek'!G16</f>
        <v>15372</v>
      </c>
      <c r="G11" s="750">
        <f>'HSZ do złotówek'!I16</f>
        <v>15372</v>
      </c>
      <c r="H11" s="754">
        <f>'HSZ do złotówek'!K16</f>
        <v>15372</v>
      </c>
      <c r="I11" s="754">
        <f>'HSZ do złotówek'!M16</f>
        <v>15372</v>
      </c>
      <c r="J11" s="754">
        <f>'HSZ do złotówek'!O16</f>
        <v>15372</v>
      </c>
      <c r="K11" s="754">
        <f>'HSZ do złotówek'!Q16</f>
        <v>15372</v>
      </c>
      <c r="L11" s="754">
        <f>'HSZ do złotówek'!S16</f>
        <v>11529</v>
      </c>
      <c r="M11" s="754">
        <f>'HSZ do złotówek'!U16</f>
        <v>0</v>
      </c>
      <c r="N11" s="754">
        <f>'HSZ do złotówek'!W16</f>
        <v>0</v>
      </c>
      <c r="O11" s="754">
        <f>'HSZ do złotówek'!Y16</f>
        <v>0</v>
      </c>
      <c r="P11" s="754">
        <f>'HSZ do złotówek'!AA16</f>
        <v>0</v>
      </c>
      <c r="Q11" s="754">
        <f>'HSZ do złotówek'!AC16</f>
        <v>0</v>
      </c>
      <c r="R11" s="770">
        <f>'HSZ do złotówek'!AE16</f>
        <v>0</v>
      </c>
    </row>
    <row r="12" spans="1:18" s="765" customFormat="1" ht="12.75">
      <c r="A12" s="312"/>
      <c r="B12" s="326" t="s">
        <v>228</v>
      </c>
      <c r="C12" s="327" t="s">
        <v>229</v>
      </c>
      <c r="D12" s="328">
        <v>499709</v>
      </c>
      <c r="E12" s="329">
        <v>2007</v>
      </c>
      <c r="F12" s="750">
        <f>'HSZ do złotówek'!G17</f>
        <v>47500</v>
      </c>
      <c r="G12" s="750">
        <f>'HSZ do złotówek'!I17</f>
        <v>47500</v>
      </c>
      <c r="H12" s="754">
        <f>'HSZ do złotówek'!K17</f>
        <v>47500</v>
      </c>
      <c r="I12" s="754">
        <f>'HSZ do złotówek'!M17</f>
        <v>47500</v>
      </c>
      <c r="J12" s="754">
        <f>'HSZ do złotówek'!O17</f>
        <v>47500</v>
      </c>
      <c r="K12" s="754">
        <f>'HSZ do złotówek'!Q17</f>
        <v>47500</v>
      </c>
      <c r="L12" s="754">
        <f>'HSZ do złotówek'!S17</f>
        <v>47500</v>
      </c>
      <c r="M12" s="754">
        <f>'HSZ do złotówek'!U17</f>
        <v>0</v>
      </c>
      <c r="N12" s="754">
        <f>'HSZ do złotówek'!W17</f>
        <v>0</v>
      </c>
      <c r="O12" s="754">
        <f>'HSZ do złotówek'!Y17</f>
        <v>0</v>
      </c>
      <c r="P12" s="754">
        <f>'HSZ do złotówek'!AA17</f>
        <v>0</v>
      </c>
      <c r="Q12" s="754">
        <f>'HSZ do złotówek'!AC17</f>
        <v>0</v>
      </c>
      <c r="R12" s="770">
        <f>'HSZ do złotówek'!AE17</f>
        <v>0</v>
      </c>
    </row>
    <row r="13" spans="1:18" s="765" customFormat="1" ht="12.75">
      <c r="A13" s="312"/>
      <c r="B13" s="326" t="s">
        <v>230</v>
      </c>
      <c r="C13" s="327" t="s">
        <v>231</v>
      </c>
      <c r="D13" s="328">
        <v>307667</v>
      </c>
      <c r="E13" s="329">
        <v>2003</v>
      </c>
      <c r="F13" s="750">
        <f>'HSZ do złotówek'!G18</f>
        <v>38000</v>
      </c>
      <c r="G13" s="750">
        <f>'HSZ do złotówek'!I18</f>
        <v>0</v>
      </c>
      <c r="H13" s="754">
        <f>'HSZ do złotówek'!K18</f>
        <v>0</v>
      </c>
      <c r="I13" s="754">
        <f>'HSZ do złotówek'!M18</f>
        <v>0</v>
      </c>
      <c r="J13" s="754">
        <f>'HSZ do złotówek'!O18</f>
        <v>0</v>
      </c>
      <c r="K13" s="754">
        <f>'HSZ do złotówek'!Q18</f>
        <v>0</v>
      </c>
      <c r="L13" s="754">
        <f>'HSZ do złotówek'!S18</f>
        <v>0</v>
      </c>
      <c r="M13" s="754">
        <f>'HSZ do złotówek'!U18</f>
        <v>0</v>
      </c>
      <c r="N13" s="754">
        <f>'HSZ do złotówek'!W18</f>
        <v>0</v>
      </c>
      <c r="O13" s="754">
        <f>'HSZ do złotówek'!Y18</f>
        <v>0</v>
      </c>
      <c r="P13" s="754">
        <f>'HSZ do złotówek'!AA18</f>
        <v>0</v>
      </c>
      <c r="Q13" s="754">
        <f>'HSZ do złotówek'!AC18</f>
        <v>0</v>
      </c>
      <c r="R13" s="770">
        <f>'HSZ do złotówek'!AE18</f>
        <v>0</v>
      </c>
    </row>
    <row r="14" spans="1:18" s="765" customFormat="1" ht="12.75">
      <c r="A14" s="312"/>
      <c r="B14" s="326" t="s">
        <v>232</v>
      </c>
      <c r="C14" s="327" t="s">
        <v>233</v>
      </c>
      <c r="D14" s="328">
        <v>366174</v>
      </c>
      <c r="E14" s="329">
        <v>2008</v>
      </c>
      <c r="F14" s="750">
        <f>'HSZ do złotówek'!G19</f>
        <v>37000</v>
      </c>
      <c r="G14" s="750">
        <f>'HSZ do złotówek'!I19</f>
        <v>37000</v>
      </c>
      <c r="H14" s="754">
        <f>'HSZ do złotówek'!K19</f>
        <v>35087</v>
      </c>
      <c r="I14" s="754">
        <f>'HSZ do złotówek'!M19</f>
        <v>40686</v>
      </c>
      <c r="J14" s="754">
        <f>'HSZ do złotówek'!O19</f>
        <v>40686</v>
      </c>
      <c r="K14" s="754">
        <f>'HSZ do złotówek'!Q19</f>
        <v>40686</v>
      </c>
      <c r="L14" s="754">
        <f>'HSZ do złotówek'!S19</f>
        <v>40686</v>
      </c>
      <c r="M14" s="754">
        <f>'HSZ do złotówek'!U19</f>
        <v>20343</v>
      </c>
      <c r="N14" s="754">
        <f>'HSZ do złotówek'!W19</f>
        <v>0</v>
      </c>
      <c r="O14" s="754">
        <f>'HSZ do złotówek'!Y19</f>
        <v>0</v>
      </c>
      <c r="P14" s="754">
        <f>'HSZ do złotówek'!AA19</f>
        <v>0</v>
      </c>
      <c r="Q14" s="754">
        <f>'HSZ do złotówek'!AC19</f>
        <v>0</v>
      </c>
      <c r="R14" s="770">
        <f>'HSZ do złotówek'!AE19</f>
        <v>0</v>
      </c>
    </row>
    <row r="15" spans="1:18" s="765" customFormat="1" ht="12.75">
      <c r="A15" s="312"/>
      <c r="B15" s="326" t="s">
        <v>234</v>
      </c>
      <c r="C15" s="330" t="s">
        <v>235</v>
      </c>
      <c r="D15" s="328">
        <v>562761</v>
      </c>
      <c r="E15" s="329">
        <v>2005</v>
      </c>
      <c r="F15" s="750">
        <f>'HSZ do złotówek'!G20</f>
        <v>62532</v>
      </c>
      <c r="G15" s="750">
        <f>'HSZ do złotówek'!I20</f>
        <v>62532</v>
      </c>
      <c r="H15" s="754">
        <f>'HSZ do złotówek'!K20</f>
        <v>62532</v>
      </c>
      <c r="I15" s="754">
        <f>'HSZ do złotówek'!M20</f>
        <v>62532</v>
      </c>
      <c r="J15" s="754">
        <f>'HSZ do złotówek'!O20</f>
        <v>15606</v>
      </c>
      <c r="K15" s="754">
        <f>'HSZ do złotówek'!Q20</f>
        <v>0</v>
      </c>
      <c r="L15" s="754">
        <f>'HSZ do złotówek'!S20</f>
        <v>0</v>
      </c>
      <c r="M15" s="754">
        <f>'HSZ do złotówek'!U20</f>
        <v>0</v>
      </c>
      <c r="N15" s="754">
        <f>'HSZ do złotówek'!W20</f>
        <v>0</v>
      </c>
      <c r="O15" s="754">
        <f>'HSZ do złotówek'!Y20</f>
        <v>0</v>
      </c>
      <c r="P15" s="754">
        <f>'HSZ do złotówek'!AA20</f>
        <v>0</v>
      </c>
      <c r="Q15" s="754">
        <f>'HSZ do złotówek'!AC20</f>
        <v>0</v>
      </c>
      <c r="R15" s="770">
        <f>'HSZ do złotówek'!AE20</f>
        <v>0</v>
      </c>
    </row>
    <row r="16" spans="1:18" s="765" customFormat="1" ht="12.75">
      <c r="A16" s="312"/>
      <c r="B16" s="326" t="s">
        <v>236</v>
      </c>
      <c r="C16" s="330" t="s">
        <v>237</v>
      </c>
      <c r="D16" s="328">
        <v>917338</v>
      </c>
      <c r="E16" s="329">
        <v>2006</v>
      </c>
      <c r="F16" s="750">
        <f>'HSZ do złotówek'!G21</f>
        <v>162720</v>
      </c>
      <c r="G16" s="750">
        <f>'HSZ do złotówek'!I21</f>
        <v>162720</v>
      </c>
      <c r="H16" s="754">
        <f>'HSZ do złotówek'!K21</f>
        <v>22378</v>
      </c>
      <c r="I16" s="754">
        <f>'HSZ do złotówek'!M21</f>
        <v>0</v>
      </c>
      <c r="J16" s="754">
        <f>'HSZ do złotówek'!O21</f>
        <v>0</v>
      </c>
      <c r="K16" s="754">
        <f>'HSZ do złotówek'!Q21</f>
        <v>0</v>
      </c>
      <c r="L16" s="754">
        <f>'HSZ do złotówek'!S21</f>
        <v>0</v>
      </c>
      <c r="M16" s="754">
        <f>'HSZ do złotówek'!U21</f>
        <v>0</v>
      </c>
      <c r="N16" s="754">
        <f>'HSZ do złotówek'!W21</f>
        <v>0</v>
      </c>
      <c r="O16" s="754">
        <f>'HSZ do złotówek'!Y21</f>
        <v>0</v>
      </c>
      <c r="P16" s="754">
        <f>'HSZ do złotówek'!AA21</f>
        <v>0</v>
      </c>
      <c r="Q16" s="754">
        <f>'HSZ do złotówek'!AC21</f>
        <v>0</v>
      </c>
      <c r="R16" s="770">
        <f>'HSZ do złotówek'!AE21</f>
        <v>0</v>
      </c>
    </row>
    <row r="17" spans="1:18" s="765" customFormat="1" ht="12.75">
      <c r="A17" s="312"/>
      <c r="B17" s="326" t="s">
        <v>238</v>
      </c>
      <c r="C17" s="330" t="s">
        <v>239</v>
      </c>
      <c r="D17" s="328">
        <v>548278</v>
      </c>
      <c r="E17" s="329">
        <v>2006</v>
      </c>
      <c r="F17" s="750">
        <f>'HSZ do złotówek'!G22</f>
        <v>54824</v>
      </c>
      <c r="G17" s="750">
        <f>'HSZ do złotówek'!I22</f>
        <v>54824</v>
      </c>
      <c r="H17" s="754">
        <f>'HSZ do złotówek'!K22</f>
        <v>54824</v>
      </c>
      <c r="I17" s="754">
        <f>'HSZ do złotówek'!M22</f>
        <v>54824</v>
      </c>
      <c r="J17" s="754">
        <f>'HSZ do złotówek'!O22</f>
        <v>54824</v>
      </c>
      <c r="K17" s="754">
        <f>'HSZ do złotówek'!Q22</f>
        <v>41118</v>
      </c>
      <c r="L17" s="754">
        <f>'HSZ do złotówek'!S22</f>
        <v>0</v>
      </c>
      <c r="M17" s="754">
        <f>'HSZ do złotówek'!U22</f>
        <v>0</v>
      </c>
      <c r="N17" s="754">
        <f>'HSZ do złotówek'!W22</f>
        <v>0</v>
      </c>
      <c r="O17" s="754">
        <f>'HSZ do złotówek'!Y22</f>
        <v>0</v>
      </c>
      <c r="P17" s="754">
        <f>'HSZ do złotówek'!AA22</f>
        <v>0</v>
      </c>
      <c r="Q17" s="754">
        <f>'HSZ do złotówek'!AC22</f>
        <v>0</v>
      </c>
      <c r="R17" s="770">
        <f>'HSZ do złotówek'!AE22</f>
        <v>0</v>
      </c>
    </row>
    <row r="18" spans="1:18" s="765" customFormat="1" ht="12.75">
      <c r="A18" s="312"/>
      <c r="B18" s="326" t="s">
        <v>240</v>
      </c>
      <c r="C18" s="330" t="s">
        <v>241</v>
      </c>
      <c r="D18" s="328">
        <v>222896</v>
      </c>
      <c r="E18" s="329">
        <v>2007</v>
      </c>
      <c r="F18" s="750">
        <f>'HSZ do złotówek'!G23</f>
        <v>23480</v>
      </c>
      <c r="G18" s="750">
        <f>'HSZ do złotówek'!I23</f>
        <v>23480</v>
      </c>
      <c r="H18" s="754">
        <f>'HSZ do złotówek'!K23</f>
        <v>23480</v>
      </c>
      <c r="I18" s="754">
        <f>'HSZ do złotówek'!M23</f>
        <v>23480</v>
      </c>
      <c r="J18" s="754">
        <f>'HSZ do złotówek'!O23</f>
        <v>23480</v>
      </c>
      <c r="K18" s="754">
        <f>'HSZ do złotówek'!Q23</f>
        <v>23480</v>
      </c>
      <c r="L18" s="754">
        <f>'HSZ do złotówek'!S23</f>
        <v>17446</v>
      </c>
      <c r="M18" s="754">
        <f>'HSZ do złotówek'!U23</f>
        <v>0</v>
      </c>
      <c r="N18" s="754">
        <f>'HSZ do złotówek'!W23</f>
        <v>0</v>
      </c>
      <c r="O18" s="754">
        <f>'HSZ do złotówek'!Y23</f>
        <v>0</v>
      </c>
      <c r="P18" s="754">
        <f>'HSZ do złotówek'!AA23</f>
        <v>0</v>
      </c>
      <c r="Q18" s="754">
        <f>'HSZ do złotówek'!AC23</f>
        <v>0</v>
      </c>
      <c r="R18" s="770">
        <f>'HSZ do złotówek'!AE23</f>
        <v>0</v>
      </c>
    </row>
    <row r="19" spans="1:18" s="765" customFormat="1" ht="12.75">
      <c r="A19" s="312"/>
      <c r="B19" s="326" t="s">
        <v>242</v>
      </c>
      <c r="C19" s="330" t="s">
        <v>243</v>
      </c>
      <c r="D19" s="328">
        <v>141743.99</v>
      </c>
      <c r="E19" s="329">
        <v>2006</v>
      </c>
      <c r="F19" s="750">
        <f>'HSZ do złotówek'!G24</f>
        <v>0</v>
      </c>
      <c r="G19" s="750">
        <f>'HSZ do złotówek'!I24</f>
        <v>0</v>
      </c>
      <c r="H19" s="754">
        <f>'HSZ do złotówek'!K24</f>
        <v>140343</v>
      </c>
      <c r="I19" s="754">
        <f>'HSZ do złotówek'!M24</f>
        <v>1402</v>
      </c>
      <c r="J19" s="754">
        <f>'HSZ do złotówek'!O24</f>
        <v>0</v>
      </c>
      <c r="K19" s="754">
        <f>'HSZ do złotówek'!Q24</f>
        <v>0</v>
      </c>
      <c r="L19" s="754">
        <f>'HSZ do złotówek'!S24</f>
        <v>0</v>
      </c>
      <c r="M19" s="754">
        <f>'HSZ do złotówek'!U24</f>
        <v>0</v>
      </c>
      <c r="N19" s="754">
        <f>'HSZ do złotówek'!W24</f>
        <v>0</v>
      </c>
      <c r="O19" s="754">
        <f>'HSZ do złotówek'!Y24</f>
        <v>0</v>
      </c>
      <c r="P19" s="754">
        <f>'HSZ do złotówek'!AA24</f>
        <v>0</v>
      </c>
      <c r="Q19" s="754">
        <f>'HSZ do złotówek'!AC24</f>
        <v>0</v>
      </c>
      <c r="R19" s="770">
        <f>'HSZ do złotówek'!AE24</f>
        <v>0</v>
      </c>
    </row>
    <row r="20" spans="1:18" s="765" customFormat="1" ht="12.75">
      <c r="A20" s="312"/>
      <c r="B20" s="326"/>
      <c r="C20" s="330"/>
      <c r="D20" s="328"/>
      <c r="E20" s="329"/>
      <c r="F20" s="750"/>
      <c r="G20" s="750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70"/>
    </row>
    <row r="21" spans="1:18" s="765" customFormat="1" ht="12.75">
      <c r="A21" s="312"/>
      <c r="B21" s="326"/>
      <c r="C21" s="330"/>
      <c r="D21" s="328"/>
      <c r="E21" s="329"/>
      <c r="F21" s="750"/>
      <c r="G21" s="750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70"/>
    </row>
    <row r="22" spans="1:18" s="765" customFormat="1" ht="12.75">
      <c r="A22" s="312"/>
      <c r="B22" s="326" t="s">
        <v>245</v>
      </c>
      <c r="C22" s="885" t="str">
        <f>'HSZ do złotówek'!A27</f>
        <v>pożyczka 2013</v>
      </c>
      <c r="D22" s="328">
        <v>2432916</v>
      </c>
      <c r="E22" s="329">
        <v>2013</v>
      </c>
      <c r="F22" s="750">
        <f>'HSZ do złotówek'!G27</f>
        <v>0</v>
      </c>
      <c r="G22" s="750">
        <f>'HSZ do złotówek'!I27</f>
        <v>0</v>
      </c>
      <c r="H22" s="754">
        <f>'HSZ do złotówek'!K27</f>
        <v>228532</v>
      </c>
      <c r="I22" s="754">
        <f>'HSZ do złotówek'!M27</f>
        <v>228532</v>
      </c>
      <c r="J22" s="754">
        <f>'HSZ do złotówek'!O27</f>
        <v>228532</v>
      </c>
      <c r="K22" s="754">
        <f>'HSZ do złotówek'!Q27</f>
        <v>228532</v>
      </c>
      <c r="L22" s="754">
        <f>'HSZ do złotówek'!S27</f>
        <v>228532</v>
      </c>
      <c r="M22" s="754">
        <f>'HSZ do złotówek'!U27</f>
        <v>228532</v>
      </c>
      <c r="N22" s="754">
        <f>'HSZ do złotówek'!W27</f>
        <v>228532</v>
      </c>
      <c r="O22" s="754">
        <f>'HSZ do złotówek'!Y27</f>
        <v>228532</v>
      </c>
      <c r="P22" s="754">
        <f>'HSZ do złotówek'!AA27</f>
        <v>228532</v>
      </c>
      <c r="Q22" s="754">
        <f>'HSZ do złotówek'!AC27</f>
        <v>228532</v>
      </c>
      <c r="R22" s="770">
        <f>'HSZ do złotówek'!AE27</f>
        <v>0</v>
      </c>
    </row>
    <row r="23" spans="1:18" s="765" customFormat="1" ht="12.75">
      <c r="A23" s="312"/>
      <c r="B23" s="326" t="s">
        <v>372</v>
      </c>
      <c r="C23" s="885" t="str">
        <f>'HSZ do złotówek'!A28</f>
        <v>pożyczka 2014</v>
      </c>
      <c r="D23" s="328">
        <v>1709796.83</v>
      </c>
      <c r="E23" s="329">
        <v>2014</v>
      </c>
      <c r="F23" s="750">
        <f>'HSZ do złotówek'!G28</f>
        <v>0</v>
      </c>
      <c r="G23" s="750">
        <f>'HSZ do złotówek'!I28</f>
        <v>0</v>
      </c>
      <c r="H23" s="754">
        <f>'HSZ do złotówek'!K28</f>
        <v>0</v>
      </c>
      <c r="I23" s="754">
        <f>'HSZ do złotówek'!M28</f>
        <v>337996</v>
      </c>
      <c r="J23" s="754">
        <f>'HSZ do złotówek'!O28</f>
        <v>337996</v>
      </c>
      <c r="K23" s="754">
        <f>'HSZ do złotówek'!Q28</f>
        <v>337996</v>
      </c>
      <c r="L23" s="754">
        <f>'HSZ do złotówek'!S28</f>
        <v>337996</v>
      </c>
      <c r="M23" s="754">
        <f>'HSZ do złotówek'!U28</f>
        <v>337996</v>
      </c>
      <c r="N23" s="754">
        <f>'HSZ do złotówek'!W28</f>
        <v>337996</v>
      </c>
      <c r="O23" s="754">
        <f>'HSZ do złotówek'!Y28</f>
        <v>337996</v>
      </c>
      <c r="P23" s="754">
        <f>'HSZ do złotówek'!AA28</f>
        <v>337996</v>
      </c>
      <c r="Q23" s="754">
        <f>'HSZ do złotówek'!AC28</f>
        <v>337996</v>
      </c>
      <c r="R23" s="770">
        <f>'HSZ do złotówek'!AE28</f>
        <v>337996</v>
      </c>
    </row>
    <row r="24" spans="1:18" s="765" customFormat="1" ht="12.75">
      <c r="A24" s="312"/>
      <c r="B24" s="326" t="s">
        <v>373</v>
      </c>
      <c r="C24" s="885" t="str">
        <f>'HSZ do złotówek'!A29</f>
        <v>pożyczka 2015</v>
      </c>
      <c r="D24" s="328">
        <v>499336.28</v>
      </c>
      <c r="E24" s="329">
        <v>2015</v>
      </c>
      <c r="F24" s="750">
        <f>'HSZ do złotówek'!G29</f>
        <v>0</v>
      </c>
      <c r="G24" s="750">
        <f>'HSZ do złotówek'!I29</f>
        <v>0</v>
      </c>
      <c r="H24" s="754">
        <f>'HSZ do złotówek'!K29</f>
        <v>0</v>
      </c>
      <c r="I24" s="754">
        <f>'HSZ do złotówek'!M29</f>
        <v>0</v>
      </c>
      <c r="J24" s="754">
        <f>'HSZ do złotówek'!O29</f>
        <v>54553</v>
      </c>
      <c r="K24" s="754">
        <f>'HSZ do złotówek'!Q29</f>
        <v>54553</v>
      </c>
      <c r="L24" s="754">
        <f>'HSZ do złotówek'!S29</f>
        <v>54553</v>
      </c>
      <c r="M24" s="754">
        <f>'HSZ do złotówek'!U29</f>
        <v>54553</v>
      </c>
      <c r="N24" s="754">
        <f>'HSZ do złotówek'!W29</f>
        <v>54553</v>
      </c>
      <c r="O24" s="754">
        <f>'HSZ do złotówek'!Y29</f>
        <v>54553</v>
      </c>
      <c r="P24" s="754">
        <f>'HSZ do złotówek'!AA29</f>
        <v>54553</v>
      </c>
      <c r="Q24" s="754">
        <f>'HSZ do złotówek'!AC29</f>
        <v>54553</v>
      </c>
      <c r="R24" s="770">
        <f>'HSZ do złotówek'!AE29</f>
        <v>54553</v>
      </c>
    </row>
    <row r="25" spans="1:18" s="765" customFormat="1" ht="12.75">
      <c r="A25" s="312"/>
      <c r="B25" s="363">
        <v>2</v>
      </c>
      <c r="C25" s="364" t="s">
        <v>247</v>
      </c>
      <c r="D25" s="365"/>
      <c r="E25" s="365"/>
      <c r="F25" s="766">
        <f t="shared" ref="F25:R25" si="2">F26</f>
        <v>0</v>
      </c>
      <c r="G25" s="766">
        <f t="shared" si="2"/>
        <v>0</v>
      </c>
      <c r="H25" s="767">
        <f t="shared" si="2"/>
        <v>0</v>
      </c>
      <c r="I25" s="766">
        <f t="shared" si="2"/>
        <v>0</v>
      </c>
      <c r="J25" s="766">
        <f t="shared" si="2"/>
        <v>0</v>
      </c>
      <c r="K25" s="766">
        <f t="shared" si="2"/>
        <v>0</v>
      </c>
      <c r="L25" s="766">
        <f t="shared" si="2"/>
        <v>0</v>
      </c>
      <c r="M25" s="766">
        <f t="shared" si="2"/>
        <v>0</v>
      </c>
      <c r="N25" s="766">
        <f t="shared" si="2"/>
        <v>0</v>
      </c>
      <c r="O25" s="766">
        <f t="shared" si="2"/>
        <v>0</v>
      </c>
      <c r="P25" s="767">
        <f t="shared" si="2"/>
        <v>0</v>
      </c>
      <c r="Q25" s="767">
        <f t="shared" si="2"/>
        <v>0</v>
      </c>
      <c r="R25" s="887">
        <f t="shared" si="2"/>
        <v>0</v>
      </c>
    </row>
    <row r="26" spans="1:18" s="765" customFormat="1" ht="12.75">
      <c r="A26" s="312"/>
      <c r="B26" s="326" t="s">
        <v>49</v>
      </c>
      <c r="C26" s="330"/>
      <c r="D26" s="328"/>
      <c r="E26" s="329"/>
      <c r="F26" s="750"/>
      <c r="G26" s="750"/>
      <c r="H26" s="754"/>
      <c r="I26" s="750"/>
      <c r="J26" s="750"/>
      <c r="K26" s="750"/>
      <c r="L26" s="750"/>
      <c r="M26" s="750"/>
      <c r="N26" s="750"/>
      <c r="O26" s="750"/>
      <c r="P26" s="754"/>
      <c r="Q26" s="754"/>
      <c r="R26" s="770"/>
    </row>
    <row r="27" spans="1:18" s="765" customFormat="1" ht="25.5">
      <c r="A27" s="312"/>
      <c r="B27" s="323">
        <v>3</v>
      </c>
      <c r="C27" s="324" t="s">
        <v>248</v>
      </c>
      <c r="D27" s="325"/>
      <c r="E27" s="325"/>
      <c r="F27" s="746">
        <f>SUM(F28:F36)</f>
        <v>6300000</v>
      </c>
      <c r="G27" s="746">
        <f t="shared" ref="G27:R27" si="3">SUM(G28:G36)</f>
        <v>5500000</v>
      </c>
      <c r="H27" s="746">
        <f t="shared" si="3"/>
        <v>5500000</v>
      </c>
      <c r="I27" s="746">
        <f t="shared" si="3"/>
        <v>5900000</v>
      </c>
      <c r="J27" s="746">
        <f t="shared" si="3"/>
        <v>6000000</v>
      </c>
      <c r="K27" s="746">
        <f t="shared" si="3"/>
        <v>6000000</v>
      </c>
      <c r="L27" s="746">
        <f t="shared" si="3"/>
        <v>6000000</v>
      </c>
      <c r="M27" s="746">
        <f t="shared" si="3"/>
        <v>6000000</v>
      </c>
      <c r="N27" s="746">
        <f t="shared" si="3"/>
        <v>6000000</v>
      </c>
      <c r="O27" s="746">
        <f t="shared" si="3"/>
        <v>6000000</v>
      </c>
      <c r="P27" s="746">
        <f t="shared" si="3"/>
        <v>6000000</v>
      </c>
      <c r="Q27" s="746">
        <f t="shared" si="3"/>
        <v>6000000</v>
      </c>
      <c r="R27" s="888">
        <f t="shared" si="3"/>
        <v>4342634</v>
      </c>
    </row>
    <row r="28" spans="1:18" s="765" customFormat="1" ht="12.75">
      <c r="A28" s="312"/>
      <c r="B28" s="326" t="s">
        <v>249</v>
      </c>
      <c r="C28" s="330" t="s">
        <v>250</v>
      </c>
      <c r="D28" s="328">
        <v>12850000</v>
      </c>
      <c r="E28" s="329">
        <v>2006</v>
      </c>
      <c r="F28" s="750">
        <f>'HSZ do złotówek'!G35</f>
        <v>6300000</v>
      </c>
      <c r="G28" s="750">
        <f>'HSZ do złotówek'!I35</f>
        <v>0</v>
      </c>
      <c r="H28" s="754">
        <f>'HSZ do złotówek'!K35</f>
        <v>0</v>
      </c>
      <c r="I28" s="754">
        <f>'HSZ do złotówek'!M35</f>
        <v>0</v>
      </c>
      <c r="J28" s="754">
        <f>'HSZ do złotówek'!O35</f>
        <v>0</v>
      </c>
      <c r="K28" s="754">
        <f>'HSZ do złotówek'!Q35</f>
        <v>0</v>
      </c>
      <c r="L28" s="754">
        <f>'HSZ do złotówek'!S35</f>
        <v>0</v>
      </c>
      <c r="M28" s="754">
        <f>'HSZ do złotówek'!U35</f>
        <v>0</v>
      </c>
      <c r="N28" s="754">
        <f>'HSZ do złotówek'!W35</f>
        <v>0</v>
      </c>
      <c r="O28" s="754">
        <f>'HSZ do złotówek'!Y35</f>
        <v>0</v>
      </c>
      <c r="P28" s="754">
        <f>'HSZ do złotówek'!AA35</f>
        <v>0</v>
      </c>
      <c r="Q28" s="754">
        <f>'HSZ do złotówek'!AC35</f>
        <v>0</v>
      </c>
      <c r="R28" s="770">
        <f>'HSZ do złotówek'!AE35</f>
        <v>0</v>
      </c>
    </row>
    <row r="29" spans="1:18" s="765" customFormat="1" ht="12.75">
      <c r="A29" s="312"/>
      <c r="B29" s="326" t="s">
        <v>65</v>
      </c>
      <c r="C29" s="330" t="s">
        <v>250</v>
      </c>
      <c r="D29" s="328">
        <v>2000000</v>
      </c>
      <c r="E29" s="329">
        <v>2008</v>
      </c>
      <c r="F29" s="750">
        <f>'HSZ do złotówek'!G36</f>
        <v>0</v>
      </c>
      <c r="G29" s="750">
        <f>'HSZ do złotówek'!I36</f>
        <v>2000000</v>
      </c>
      <c r="H29" s="754">
        <f>'HSZ do złotówek'!K36</f>
        <v>0</v>
      </c>
      <c r="I29" s="754">
        <f>'HSZ do złotówek'!M36</f>
        <v>0</v>
      </c>
      <c r="J29" s="754">
        <f>'HSZ do złotówek'!O36</f>
        <v>0</v>
      </c>
      <c r="K29" s="754">
        <f>'HSZ do złotówek'!Q36</f>
        <v>0</v>
      </c>
      <c r="L29" s="754">
        <f>'HSZ do złotówek'!S36</f>
        <v>0</v>
      </c>
      <c r="M29" s="754">
        <f>'HSZ do złotówek'!U36</f>
        <v>0</v>
      </c>
      <c r="N29" s="754">
        <f>'HSZ do złotówek'!W36</f>
        <v>0</v>
      </c>
      <c r="O29" s="754">
        <f>'HSZ do złotówek'!Y36</f>
        <v>0</v>
      </c>
      <c r="P29" s="754">
        <f>'HSZ do złotówek'!AA36</f>
        <v>0</v>
      </c>
      <c r="Q29" s="754">
        <f>'HSZ do złotówek'!AC36</f>
        <v>0</v>
      </c>
      <c r="R29" s="770">
        <f>'HSZ do złotówek'!AE36</f>
        <v>0</v>
      </c>
    </row>
    <row r="30" spans="1:18" s="765" customFormat="1" ht="12.75">
      <c r="A30" s="312"/>
      <c r="B30" s="326" t="s">
        <v>251</v>
      </c>
      <c r="C30" s="330" t="s">
        <v>252</v>
      </c>
      <c r="D30" s="328">
        <v>8900000</v>
      </c>
      <c r="E30" s="329">
        <v>2009</v>
      </c>
      <c r="F30" s="750">
        <f>'HSZ do złotówek'!G37</f>
        <v>0</v>
      </c>
      <c r="G30" s="750">
        <f>'HSZ do złotówek'!I37</f>
        <v>3000000</v>
      </c>
      <c r="H30" s="754">
        <f>'HSZ do złotówek'!K37</f>
        <v>5000000</v>
      </c>
      <c r="I30" s="754">
        <f>'HSZ do złotówek'!M37</f>
        <v>900000</v>
      </c>
      <c r="J30" s="754">
        <f>'HSZ do złotówek'!O37</f>
        <v>0</v>
      </c>
      <c r="K30" s="754">
        <f>'HSZ do złotówek'!Q37</f>
        <v>0</v>
      </c>
      <c r="L30" s="754">
        <f>'HSZ do złotówek'!S37</f>
        <v>0</v>
      </c>
      <c r="M30" s="754">
        <f>'HSZ do złotówek'!U37</f>
        <v>0</v>
      </c>
      <c r="N30" s="754">
        <f>'HSZ do złotówek'!W37</f>
        <v>0</v>
      </c>
      <c r="O30" s="754">
        <f>'HSZ do złotówek'!Y37</f>
        <v>0</v>
      </c>
      <c r="P30" s="754">
        <f>'HSZ do złotówek'!AA37</f>
        <v>0</v>
      </c>
      <c r="Q30" s="754">
        <f>'HSZ do złotówek'!AC37</f>
        <v>0</v>
      </c>
      <c r="R30" s="770">
        <f>'HSZ do złotówek'!AE37</f>
        <v>0</v>
      </c>
    </row>
    <row r="31" spans="1:18" s="765" customFormat="1" ht="12.75">
      <c r="A31" s="312"/>
      <c r="B31" s="326" t="s">
        <v>253</v>
      </c>
      <c r="C31" s="330" t="s">
        <v>266</v>
      </c>
      <c r="D31" s="328">
        <v>16000000</v>
      </c>
      <c r="E31" s="329">
        <v>2010</v>
      </c>
      <c r="F31" s="750">
        <f>'HSZ do złotówek'!G38</f>
        <v>0</v>
      </c>
      <c r="G31" s="750">
        <f>'HSZ do złotówek'!I38</f>
        <v>0</v>
      </c>
      <c r="H31" s="754">
        <f>'HSZ do złotówek'!K38</f>
        <v>0</v>
      </c>
      <c r="I31" s="754">
        <f>'HSZ do złotówek'!M38</f>
        <v>5000000</v>
      </c>
      <c r="J31" s="754">
        <f>'HSZ do złotówek'!O38</f>
        <v>5500000</v>
      </c>
      <c r="K31" s="754">
        <f>'HSZ do złotówek'!Q38</f>
        <v>5500000</v>
      </c>
      <c r="L31" s="754">
        <f>'HSZ do złotówek'!S38</f>
        <v>0</v>
      </c>
      <c r="M31" s="754">
        <f>'HSZ do złotówek'!U38</f>
        <v>0</v>
      </c>
      <c r="N31" s="754">
        <f>'HSZ do złotówek'!W38</f>
        <v>0</v>
      </c>
      <c r="O31" s="754">
        <f>'HSZ do złotówek'!Y38</f>
        <v>0</v>
      </c>
      <c r="P31" s="754">
        <f>'HSZ do złotówek'!AA38</f>
        <v>0</v>
      </c>
      <c r="Q31" s="754">
        <f>'HSZ do złotówek'!AC38</f>
        <v>0</v>
      </c>
      <c r="R31" s="770">
        <f>'HSZ do złotówek'!AE38</f>
        <v>0</v>
      </c>
    </row>
    <row r="32" spans="1:18" s="765" customFormat="1" ht="12.75">
      <c r="A32" s="312"/>
      <c r="B32" s="326" t="s">
        <v>255</v>
      </c>
      <c r="C32" s="330" t="s">
        <v>256</v>
      </c>
      <c r="D32" s="328">
        <v>10000000</v>
      </c>
      <c r="E32" s="329">
        <v>2011</v>
      </c>
      <c r="F32" s="750">
        <f>'HSZ do złotówek'!G39</f>
        <v>0</v>
      </c>
      <c r="G32" s="750">
        <f>'HSZ do złotówek'!I39</f>
        <v>500000</v>
      </c>
      <c r="H32" s="754">
        <f>'HSZ do złotówek'!K39</f>
        <v>500000</v>
      </c>
      <c r="I32" s="754">
        <f>'HSZ do złotówek'!M39</f>
        <v>0</v>
      </c>
      <c r="J32" s="754">
        <f>'HSZ do złotówek'!O39</f>
        <v>500000</v>
      </c>
      <c r="K32" s="754">
        <f>'HSZ do złotówek'!Q39</f>
        <v>500000</v>
      </c>
      <c r="L32" s="754">
        <f>'HSZ do złotówek'!S39</f>
        <v>4000000</v>
      </c>
      <c r="M32" s="754">
        <f>'HSZ do złotówek'!U39</f>
        <v>4000000</v>
      </c>
      <c r="N32" s="754">
        <f>'HSZ do złotówek'!W39</f>
        <v>0</v>
      </c>
      <c r="O32" s="754">
        <f>'HSZ do złotówek'!Y39</f>
        <v>0</v>
      </c>
      <c r="P32" s="754">
        <f>'HSZ do złotówek'!AA39</f>
        <v>0</v>
      </c>
      <c r="Q32" s="754">
        <f>'HSZ do złotówek'!AC39</f>
        <v>0</v>
      </c>
      <c r="R32" s="770">
        <f>'HSZ do złotówek'!AE39</f>
        <v>0</v>
      </c>
    </row>
    <row r="33" spans="1:20" s="765" customFormat="1" ht="12.75">
      <c r="A33" s="312"/>
      <c r="B33" s="366"/>
      <c r="C33" s="367"/>
      <c r="D33" s="368"/>
      <c r="E33" s="3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71"/>
    </row>
    <row r="34" spans="1:20" s="765" customFormat="1" ht="12.75">
      <c r="A34" s="312"/>
      <c r="B34" s="366" t="s">
        <v>267</v>
      </c>
      <c r="C34" s="330" t="s">
        <v>268</v>
      </c>
      <c r="D34" s="328">
        <v>7000000</v>
      </c>
      <c r="E34" s="329">
        <v>2012</v>
      </c>
      <c r="F34" s="750">
        <f>'HSZ do złotówek'!G43</f>
        <v>0</v>
      </c>
      <c r="G34" s="750">
        <f>'HSZ do złotówek'!I43</f>
        <v>0</v>
      </c>
      <c r="H34" s="754">
        <f>'HSZ do złotówek'!K43</f>
        <v>0</v>
      </c>
      <c r="I34" s="754">
        <f>'HSZ do złotówek'!M43</f>
        <v>0</v>
      </c>
      <c r="J34" s="754">
        <f>'HSZ do złotówek'!O43</f>
        <v>0</v>
      </c>
      <c r="K34" s="754">
        <f>'HSZ do złotówek'!Q43</f>
        <v>0</v>
      </c>
      <c r="L34" s="754">
        <f>'HSZ do złotówek'!S43</f>
        <v>2000000</v>
      </c>
      <c r="M34" s="754">
        <f>'HSZ do złotówek'!U43</f>
        <v>2000000</v>
      </c>
      <c r="N34" s="754">
        <f>'HSZ do złotówek'!W43</f>
        <v>3000000</v>
      </c>
      <c r="O34" s="754">
        <f>'HSZ do złotówek'!Y43</f>
        <v>0</v>
      </c>
      <c r="P34" s="754">
        <f>'HSZ do złotówek'!AA43</f>
        <v>0</v>
      </c>
      <c r="Q34" s="754">
        <f>'HSZ do złotówek'!AC43</f>
        <v>0</v>
      </c>
      <c r="R34" s="770">
        <f>'HSZ do złotówek'!AE43</f>
        <v>0</v>
      </c>
    </row>
    <row r="35" spans="1:20" s="765" customFormat="1" ht="12.75">
      <c r="A35" s="312"/>
      <c r="B35" s="366"/>
      <c r="C35" s="367"/>
      <c r="D35" s="368"/>
      <c r="E35" s="3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71"/>
    </row>
    <row r="36" spans="1:20" s="765" customFormat="1" ht="12.75">
      <c r="A36" s="312"/>
      <c r="B36" s="326" t="s">
        <v>269</v>
      </c>
      <c r="C36" s="330" t="s">
        <v>258</v>
      </c>
      <c r="D36" s="328"/>
      <c r="E36" s="369" t="s">
        <v>270</v>
      </c>
      <c r="F36" s="750">
        <f>SUM('HSZ do złotówek'!G45:G56)</f>
        <v>0</v>
      </c>
      <c r="G36" s="750">
        <f>SUM('HSZ do złotówek'!I45:I56)</f>
        <v>0</v>
      </c>
      <c r="H36" s="754">
        <f>SUM('HSZ do złotówek'!K45:K56)</f>
        <v>0</v>
      </c>
      <c r="I36" s="754">
        <f>SUM('HSZ do złotówek'!M45:M56)</f>
        <v>0</v>
      </c>
      <c r="J36" s="754">
        <f>SUM('HSZ do złotówek'!O45:O56)</f>
        <v>0</v>
      </c>
      <c r="K36" s="754">
        <f>SUM('HSZ do złotówek'!Q45:Q56)</f>
        <v>0</v>
      </c>
      <c r="L36" s="754">
        <f>SUM('HSZ do złotówek'!S45:S56)</f>
        <v>0</v>
      </c>
      <c r="M36" s="754">
        <f>SUM('HSZ do złotówek'!U45:U56)</f>
        <v>0</v>
      </c>
      <c r="N36" s="754">
        <f>SUM('HSZ do złotówek'!W45:W56)</f>
        <v>3000000</v>
      </c>
      <c r="O36" s="754">
        <f>SUM('HSZ do złotówek'!Y45:Y56)</f>
        <v>6000000</v>
      </c>
      <c r="P36" s="754">
        <f>SUM('HSZ do złotówek'!AA45:AA56)</f>
        <v>6000000</v>
      </c>
      <c r="Q36" s="754">
        <f>SUM('HSZ do złotówek'!AC45:AC56)</f>
        <v>6000000</v>
      </c>
      <c r="R36" s="770">
        <f>SUM('HSZ do złotówek'!AE45:AE56)</f>
        <v>4342634</v>
      </c>
      <c r="S36" s="886"/>
      <c r="T36" s="886"/>
    </row>
    <row r="37" spans="1:20" s="765" customFormat="1" ht="12.75">
      <c r="A37" s="312"/>
      <c r="B37" s="363">
        <v>4</v>
      </c>
      <c r="C37" s="364" t="s">
        <v>271</v>
      </c>
      <c r="D37" s="365"/>
      <c r="E37" s="365"/>
      <c r="F37" s="766">
        <f t="shared" ref="F37:M37" si="4">F27+F25+F8</f>
        <v>6998867</v>
      </c>
      <c r="G37" s="766">
        <f t="shared" si="4"/>
        <v>6160865</v>
      </c>
      <c r="H37" s="767">
        <f t="shared" si="4"/>
        <v>6329928</v>
      </c>
      <c r="I37" s="766">
        <f t="shared" si="4"/>
        <v>6912100</v>
      </c>
      <c r="J37" s="766">
        <f t="shared" si="4"/>
        <v>6818549</v>
      </c>
      <c r="K37" s="766">
        <f t="shared" si="4"/>
        <v>6789237</v>
      </c>
      <c r="L37" s="766">
        <f t="shared" si="4"/>
        <v>6738242</v>
      </c>
      <c r="M37" s="766">
        <f t="shared" si="4"/>
        <v>6641424</v>
      </c>
      <c r="N37" s="766">
        <f t="shared" ref="N37:R37" si="5">N27+N25+N8</f>
        <v>6621081</v>
      </c>
      <c r="O37" s="766">
        <f t="shared" si="5"/>
        <v>6621081</v>
      </c>
      <c r="P37" s="766">
        <f t="shared" si="5"/>
        <v>6621081</v>
      </c>
      <c r="Q37" s="766">
        <f t="shared" si="5"/>
        <v>6621081</v>
      </c>
      <c r="R37" s="887">
        <f t="shared" si="5"/>
        <v>4735183</v>
      </c>
    </row>
    <row r="38" spans="1:20" s="158" customFormat="1" ht="12.75">
      <c r="A38" s="343"/>
      <c r="B38" s="370"/>
      <c r="C38" s="371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772"/>
    </row>
    <row r="39" spans="1:20" ht="38.25">
      <c r="B39" s="373">
        <v>5</v>
      </c>
      <c r="C39" s="374" t="s">
        <v>272</v>
      </c>
      <c r="D39" s="375"/>
      <c r="E39" s="375"/>
      <c r="F39" s="786">
        <f>'HSZ do złotówek'!H62</f>
        <v>2173467</v>
      </c>
      <c r="G39" s="786">
        <f>'HSZ do złotówek'!J62</f>
        <v>2346837</v>
      </c>
      <c r="H39" s="787">
        <f>'HSZ do złotówek'!L62</f>
        <v>2535407</v>
      </c>
      <c r="I39" s="786">
        <f>'HSZ do złotówek'!N62</f>
        <v>2538317</v>
      </c>
      <c r="J39" s="786">
        <f>'HSZ do złotówek'!P62</f>
        <v>2218131</v>
      </c>
      <c r="K39" s="786">
        <f>'HSZ do złotówek'!R62</f>
        <v>1983144</v>
      </c>
      <c r="L39" s="786">
        <f>'HSZ do złotówek'!T62</f>
        <v>1649857</v>
      </c>
      <c r="M39" s="786">
        <f>'HSZ do złotówek'!V62</f>
        <v>1373905</v>
      </c>
      <c r="N39" s="786">
        <f>'HSZ do złotówek'!X62</f>
        <v>1090330</v>
      </c>
      <c r="O39" s="786">
        <f>'HSZ do złotówek'!Z62</f>
        <v>2008531</v>
      </c>
      <c r="P39" s="787">
        <f>'HSZ do złotówek'!AB62</f>
        <v>1787946</v>
      </c>
      <c r="Q39" s="787">
        <f>'HSZ do złotówek'!AD62</f>
        <v>367132</v>
      </c>
      <c r="R39" s="788">
        <f>'HSZ do złotówek'!AF62</f>
        <v>220568</v>
      </c>
    </row>
    <row r="40" spans="1:20" ht="76.5">
      <c r="B40" s="376">
        <v>6</v>
      </c>
      <c r="C40" s="377" t="s">
        <v>273</v>
      </c>
      <c r="D40" s="378"/>
      <c r="E40" s="378"/>
      <c r="F40" s="379"/>
      <c r="G40" s="379"/>
      <c r="H40" s="380"/>
      <c r="I40" s="379"/>
      <c r="J40" s="379"/>
      <c r="K40" s="379"/>
      <c r="L40" s="379"/>
      <c r="M40" s="379"/>
      <c r="N40" s="379"/>
      <c r="O40" s="379"/>
      <c r="P40" s="380"/>
      <c r="Q40" s="380"/>
      <c r="R40" s="773"/>
    </row>
    <row r="41" spans="1:20" s="158" customFormat="1" ht="12.75">
      <c r="A41" s="343"/>
      <c r="B41" s="370"/>
      <c r="C41" s="371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772"/>
    </row>
    <row r="42" spans="1:20" ht="38.25">
      <c r="B42" s="381">
        <v>7</v>
      </c>
      <c r="C42" s="382" t="s">
        <v>274</v>
      </c>
      <c r="D42" s="383"/>
      <c r="E42" s="383"/>
      <c r="F42" s="384">
        <f>'Przedsięwzięcia - Poręczenia'!P83</f>
        <v>4444852.6399999997</v>
      </c>
      <c r="G42" s="384">
        <f>'Przedsięwzięcia - Poręczenia'!Q83</f>
        <v>4675138.42</v>
      </c>
      <c r="H42" s="384">
        <f>'Przedsięwzięcia - Poręczenia'!R83</f>
        <v>4693844.59</v>
      </c>
      <c r="I42" s="384">
        <f>'Przedsięwzięcia - Poręczenia'!S83</f>
        <v>4588744.07</v>
      </c>
      <c r="J42" s="384">
        <f>'Przedsięwzięcia - Poręczenia'!T83</f>
        <v>4264504.0999999996</v>
      </c>
      <c r="K42" s="384">
        <f>'Przedsięwzięcia - Poręczenia'!U83</f>
        <v>3883997.74</v>
      </c>
      <c r="L42" s="384">
        <f>'Przedsięwzięcia - Poręczenia'!V83</f>
        <v>3055973.64</v>
      </c>
      <c r="M42" s="384">
        <f>'Przedsięwzięcia - Poręczenia'!W83</f>
        <v>3055973.64</v>
      </c>
      <c r="N42" s="384">
        <f>'Przedsięwzięcia - Poręczenia'!X83</f>
        <v>2901030.64</v>
      </c>
      <c r="O42" s="384">
        <f>'Przedsięwzięcia - Poręczenia'!Y83</f>
        <v>1941925.88</v>
      </c>
      <c r="P42" s="384">
        <f>'Przedsięwzięcia - Poręczenia'!Z83</f>
        <v>559614.97</v>
      </c>
      <c r="Q42" s="384">
        <f>'Przedsięwzięcia - Poręczenia'!AA83</f>
        <v>0</v>
      </c>
      <c r="R42" s="774">
        <f>'Przedsięwzięcia - Poręczenia'!AB83</f>
        <v>0</v>
      </c>
    </row>
    <row r="43" spans="1:20" ht="63.75">
      <c r="B43" s="385">
        <v>8</v>
      </c>
      <c r="C43" s="386" t="s">
        <v>275</v>
      </c>
      <c r="D43" s="387"/>
      <c r="E43" s="387"/>
      <c r="F43" s="388"/>
      <c r="G43" s="388"/>
      <c r="H43" s="389"/>
      <c r="I43" s="388"/>
      <c r="J43" s="388"/>
      <c r="K43" s="388"/>
      <c r="L43" s="388"/>
      <c r="M43" s="388"/>
      <c r="N43" s="388"/>
      <c r="O43" s="388"/>
      <c r="P43" s="389"/>
      <c r="Q43" s="389"/>
      <c r="R43" s="775"/>
    </row>
    <row r="44" spans="1:20" ht="63.75">
      <c r="B44" s="385">
        <v>9</v>
      </c>
      <c r="C44" s="386" t="s">
        <v>276</v>
      </c>
      <c r="D44" s="387"/>
      <c r="E44" s="387"/>
      <c r="F44" s="388"/>
      <c r="G44" s="388"/>
      <c r="H44" s="389"/>
      <c r="I44" s="388"/>
      <c r="J44" s="388"/>
      <c r="K44" s="388"/>
      <c r="L44" s="388"/>
      <c r="M44" s="388"/>
      <c r="N44" s="388"/>
      <c r="O44" s="388"/>
      <c r="P44" s="389"/>
      <c r="Q44" s="389"/>
      <c r="R44" s="775"/>
    </row>
    <row r="45" spans="1:20" s="158" customFormat="1" ht="12.75">
      <c r="A45" s="343"/>
      <c r="B45" s="370"/>
      <c r="C45" s="371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772"/>
    </row>
    <row r="46" spans="1:20" ht="38.25">
      <c r="B46" s="390">
        <v>10</v>
      </c>
      <c r="C46" s="391" t="s">
        <v>277</v>
      </c>
      <c r="D46" s="392"/>
      <c r="E46" s="392"/>
      <c r="F46" s="393">
        <f t="shared" ref="F46:P46" si="6">F37+F39+F40+F42</f>
        <v>13617186.640000001</v>
      </c>
      <c r="G46" s="393">
        <f t="shared" si="6"/>
        <v>13182840.42</v>
      </c>
      <c r="H46" s="394">
        <f t="shared" si="6"/>
        <v>13559179.59</v>
      </c>
      <c r="I46" s="393">
        <f t="shared" si="6"/>
        <v>14039161.07</v>
      </c>
      <c r="J46" s="393">
        <f t="shared" si="6"/>
        <v>13301184.1</v>
      </c>
      <c r="K46" s="393">
        <f t="shared" si="6"/>
        <v>12656378.74</v>
      </c>
      <c r="L46" s="393">
        <f t="shared" si="6"/>
        <v>11444072.640000001</v>
      </c>
      <c r="M46" s="393">
        <f t="shared" si="6"/>
        <v>11071302.640000001</v>
      </c>
      <c r="N46" s="393">
        <f t="shared" si="6"/>
        <v>10612441.640000001</v>
      </c>
      <c r="O46" s="393">
        <f t="shared" si="6"/>
        <v>10571537.879999999</v>
      </c>
      <c r="P46" s="394">
        <f t="shared" si="6"/>
        <v>8968641.9700000007</v>
      </c>
      <c r="Q46" s="394">
        <f>Q37+Q39+Q40+Q42</f>
        <v>6988213</v>
      </c>
      <c r="R46" s="776">
        <f>R37+R39+R40+R42</f>
        <v>4955751</v>
      </c>
    </row>
    <row r="47" spans="1:20" s="158" customFormat="1" ht="12.75">
      <c r="A47" s="343"/>
      <c r="B47" s="370"/>
      <c r="C47" s="371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772"/>
    </row>
    <row r="48" spans="1:20" ht="25.5">
      <c r="B48" s="395">
        <v>11</v>
      </c>
      <c r="C48" s="396" t="s">
        <v>261</v>
      </c>
      <c r="D48" s="397"/>
      <c r="E48" s="397"/>
      <c r="F48" s="398">
        <f>WPF!G7</f>
        <v>164025871</v>
      </c>
      <c r="G48" s="398">
        <f>WPF!H7</f>
        <v>194037655</v>
      </c>
      <c r="H48" s="398">
        <f>WPF!I7</f>
        <v>188169366</v>
      </c>
      <c r="I48" s="398">
        <f>WPF!J7</f>
        <v>164689399</v>
      </c>
      <c r="J48" s="398">
        <f>WPF!K7</f>
        <v>171800000</v>
      </c>
      <c r="K48" s="398">
        <f>WPF!L7</f>
        <v>176700000</v>
      </c>
      <c r="L48" s="398">
        <f>WPF!M7</f>
        <v>178200000</v>
      </c>
      <c r="M48" s="398">
        <f>WPF!N7</f>
        <v>180700000</v>
      </c>
      <c r="N48" s="398">
        <f>WPF!O7</f>
        <v>184300000</v>
      </c>
      <c r="O48" s="398">
        <f>WPF!P7</f>
        <v>187900000</v>
      </c>
      <c r="P48" s="398">
        <f>WPF!Q7</f>
        <v>190600000</v>
      </c>
      <c r="Q48" s="398">
        <f>WPF!R7</f>
        <v>195200000</v>
      </c>
      <c r="R48" s="777">
        <f>WPF!S7</f>
        <v>199900000</v>
      </c>
    </row>
    <row r="49" spans="1:18" ht="12.75">
      <c r="B49" s="399">
        <v>12</v>
      </c>
      <c r="C49" s="400" t="s">
        <v>127</v>
      </c>
      <c r="D49" s="401"/>
      <c r="E49" s="401"/>
      <c r="F49" s="402">
        <f>WPF!G11</f>
        <v>143881978</v>
      </c>
      <c r="G49" s="402">
        <f>WPF!H11</f>
        <v>149100000</v>
      </c>
      <c r="H49" s="402">
        <f>WPF!I11</f>
        <v>153500000</v>
      </c>
      <c r="I49" s="402">
        <f>WPF!J11</f>
        <v>158100000</v>
      </c>
      <c r="J49" s="402">
        <f>WPF!K11</f>
        <v>162800000</v>
      </c>
      <c r="K49" s="402">
        <f>WPF!L11</f>
        <v>167700000</v>
      </c>
      <c r="L49" s="402">
        <f>WPF!M11</f>
        <v>170200000</v>
      </c>
      <c r="M49" s="402">
        <f>WPF!N11</f>
        <v>173700000</v>
      </c>
      <c r="N49" s="402">
        <f>WPF!O11</f>
        <v>177300000</v>
      </c>
      <c r="O49" s="402">
        <f>WPF!P11</f>
        <v>180900000</v>
      </c>
      <c r="P49" s="402">
        <f>WPF!Q11</f>
        <v>184600000</v>
      </c>
      <c r="Q49" s="402">
        <f>WPF!R11</f>
        <v>189200000</v>
      </c>
      <c r="R49" s="778">
        <f>WPF!S11</f>
        <v>193900000</v>
      </c>
    </row>
    <row r="50" spans="1:18" ht="12.75">
      <c r="B50" s="403">
        <v>13</v>
      </c>
      <c r="C50" s="404" t="s">
        <v>278</v>
      </c>
      <c r="D50" s="405"/>
      <c r="E50" s="405"/>
      <c r="F50" s="406">
        <f>WPF!G24</f>
        <v>9940000</v>
      </c>
      <c r="G50" s="406">
        <f>WPF!H24</f>
        <v>14500000</v>
      </c>
      <c r="H50" s="406">
        <f>WPF!I24</f>
        <v>10050000</v>
      </c>
      <c r="I50" s="406">
        <f>WPF!J24</f>
        <v>6500000</v>
      </c>
      <c r="J50" s="406">
        <f>WPF!K24</f>
        <v>6600000</v>
      </c>
      <c r="K50" s="406">
        <f>WPF!L24</f>
        <v>5500000</v>
      </c>
      <c r="L50" s="406">
        <f>WPF!M24</f>
        <v>6000000</v>
      </c>
      <c r="M50" s="406">
        <f>WPF!N24</f>
        <v>5500000</v>
      </c>
      <c r="N50" s="406">
        <f>WPF!O24</f>
        <v>5000000</v>
      </c>
      <c r="O50" s="406">
        <f>WPF!P24</f>
        <v>4000000</v>
      </c>
      <c r="P50" s="406">
        <f>WPF!Q24</f>
        <v>3000000</v>
      </c>
      <c r="Q50" s="406">
        <f>WPF!R24</f>
        <v>3000000</v>
      </c>
      <c r="R50" s="779">
        <f>WPF!S24</f>
        <v>3000000</v>
      </c>
    </row>
    <row r="51" spans="1:18" s="158" customFormat="1" ht="12.75">
      <c r="A51" s="343"/>
      <c r="B51" s="407">
        <v>14</v>
      </c>
      <c r="C51" s="408" t="s">
        <v>279</v>
      </c>
      <c r="D51" s="409"/>
      <c r="E51" s="409"/>
      <c r="F51" s="410">
        <f>WPF!G12</f>
        <v>143805066</v>
      </c>
      <c r="G51" s="410">
        <f>WPF!H12</f>
        <v>142600000</v>
      </c>
      <c r="H51" s="410">
        <f>WPF!I12</f>
        <v>147200000</v>
      </c>
      <c r="I51" s="410">
        <f>WPF!J12</f>
        <v>151600000</v>
      </c>
      <c r="J51" s="410">
        <f>WPF!K12</f>
        <v>156100000</v>
      </c>
      <c r="K51" s="410">
        <f>WPF!L12</f>
        <v>162300000</v>
      </c>
      <c r="L51" s="410">
        <f>WPF!M12</f>
        <v>165300000</v>
      </c>
      <c r="M51" s="410">
        <f>WPF!N12</f>
        <v>168700000</v>
      </c>
      <c r="N51" s="410">
        <f>WPF!O12</f>
        <v>172200000</v>
      </c>
      <c r="O51" s="410">
        <f>WPF!P12</f>
        <v>177400000</v>
      </c>
      <c r="P51" s="410">
        <f>WPF!Q12</f>
        <v>181829890</v>
      </c>
      <c r="Q51" s="410">
        <f>WPF!R12</f>
        <v>185500000</v>
      </c>
      <c r="R51" s="780">
        <f>WPF!S12</f>
        <v>189300000</v>
      </c>
    </row>
    <row r="52" spans="1:18" s="158" customFormat="1" ht="12.75">
      <c r="A52" s="343"/>
      <c r="B52" s="370"/>
      <c r="C52" s="411"/>
      <c r="D52" s="412"/>
      <c r="E52" s="412"/>
      <c r="F52" s="412"/>
      <c r="G52" s="412" t="s">
        <v>280</v>
      </c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781"/>
    </row>
    <row r="53" spans="1:18" ht="12.75">
      <c r="B53" s="413">
        <v>15</v>
      </c>
      <c r="C53" s="414" t="s">
        <v>281</v>
      </c>
      <c r="D53" s="415"/>
      <c r="E53" s="415"/>
      <c r="F53" s="416">
        <f>F49-F51</f>
        <v>76912</v>
      </c>
      <c r="G53" s="416">
        <f t="shared" ref="G53:P53" si="7">G49-G51</f>
        <v>6500000</v>
      </c>
      <c r="H53" s="416">
        <f t="shared" si="7"/>
        <v>6300000</v>
      </c>
      <c r="I53" s="416">
        <f t="shared" si="7"/>
        <v>6500000</v>
      </c>
      <c r="J53" s="416">
        <f t="shared" si="7"/>
        <v>6700000</v>
      </c>
      <c r="K53" s="416">
        <f t="shared" si="7"/>
        <v>5400000</v>
      </c>
      <c r="L53" s="416">
        <f t="shared" si="7"/>
        <v>4900000</v>
      </c>
      <c r="M53" s="416">
        <f t="shared" si="7"/>
        <v>5000000</v>
      </c>
      <c r="N53" s="416">
        <f t="shared" si="7"/>
        <v>5100000</v>
      </c>
      <c r="O53" s="416">
        <f t="shared" si="7"/>
        <v>3500000</v>
      </c>
      <c r="P53" s="416">
        <f t="shared" si="7"/>
        <v>2770110</v>
      </c>
      <c r="Q53" s="416">
        <f>Q49-Q51</f>
        <v>3700000</v>
      </c>
      <c r="R53" s="416">
        <f>R49-R51</f>
        <v>4600000</v>
      </c>
    </row>
    <row r="54" spans="1:18" s="158" customFormat="1" ht="12.75">
      <c r="A54" s="343"/>
      <c r="B54" s="370"/>
      <c r="C54" s="411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781"/>
    </row>
    <row r="55" spans="1:18" ht="38.25">
      <c r="B55" s="417">
        <v>16</v>
      </c>
      <c r="C55" s="418" t="s">
        <v>282</v>
      </c>
      <c r="D55" s="419"/>
      <c r="E55" s="419"/>
      <c r="F55" s="420">
        <f t="shared" ref="F55:P55" si="8">ROUND(F46/F48*100,2)</f>
        <v>8.3000000000000007</v>
      </c>
      <c r="G55" s="420">
        <f t="shared" si="8"/>
        <v>6.79</v>
      </c>
      <c r="H55" s="420">
        <f t="shared" si="8"/>
        <v>7.21</v>
      </c>
      <c r="I55" s="420">
        <f t="shared" si="8"/>
        <v>8.52</v>
      </c>
      <c r="J55" s="420">
        <f t="shared" si="8"/>
        <v>7.74</v>
      </c>
      <c r="K55" s="420">
        <f t="shared" si="8"/>
        <v>7.16</v>
      </c>
      <c r="L55" s="420">
        <f t="shared" si="8"/>
        <v>6.42</v>
      </c>
      <c r="M55" s="420">
        <f t="shared" si="8"/>
        <v>6.13</v>
      </c>
      <c r="N55" s="420">
        <f t="shared" si="8"/>
        <v>5.76</v>
      </c>
      <c r="O55" s="420">
        <f t="shared" si="8"/>
        <v>5.63</v>
      </c>
      <c r="P55" s="420">
        <f t="shared" si="8"/>
        <v>4.71</v>
      </c>
      <c r="Q55" s="420">
        <f>ROUND(Q46/Q48*100,2)</f>
        <v>3.58</v>
      </c>
      <c r="R55" s="782">
        <f>ROUND(R46/R48*100,2)</f>
        <v>2.48</v>
      </c>
    </row>
    <row r="56" spans="1:18" ht="51">
      <c r="B56" s="421">
        <v>17</v>
      </c>
      <c r="C56" s="422" t="s">
        <v>283</v>
      </c>
      <c r="D56" s="423"/>
      <c r="E56" s="423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783"/>
    </row>
    <row r="57" spans="1:18" ht="38.25">
      <c r="B57" s="425">
        <v>18</v>
      </c>
      <c r="C57" s="426" t="s">
        <v>284</v>
      </c>
      <c r="D57" s="427"/>
      <c r="E57" s="427"/>
      <c r="F57" s="428">
        <f t="shared" ref="F57:H57" si="9">ROUND((SUM(F42+F37+F39)/F48),4)</f>
        <v>8.3000000000000004E-2</v>
      </c>
      <c r="G57" s="428">
        <f t="shared" si="9"/>
        <v>6.7900000000000002E-2</v>
      </c>
      <c r="H57" s="428">
        <f t="shared" si="9"/>
        <v>7.2099999999999997E-2</v>
      </c>
      <c r="I57" s="428">
        <f>ROUND((SUM(I42+I37+I39)/I48),4)</f>
        <v>8.5199999999999998E-2</v>
      </c>
      <c r="J57" s="428">
        <f t="shared" ref="J57:P57" si="10">ROUND((SUM(J42+J37+J39)/J48),4)</f>
        <v>7.7399999999999997E-2</v>
      </c>
      <c r="K57" s="428">
        <f t="shared" si="10"/>
        <v>7.1599999999999997E-2</v>
      </c>
      <c r="L57" s="428">
        <f t="shared" si="10"/>
        <v>6.4199999999999993E-2</v>
      </c>
      <c r="M57" s="428">
        <f t="shared" si="10"/>
        <v>6.13E-2</v>
      </c>
      <c r="N57" s="428">
        <f t="shared" si="10"/>
        <v>5.7599999999999998E-2</v>
      </c>
      <c r="O57" s="428">
        <f t="shared" si="10"/>
        <v>5.6300000000000003E-2</v>
      </c>
      <c r="P57" s="428">
        <f t="shared" si="10"/>
        <v>4.7100000000000003E-2</v>
      </c>
      <c r="Q57" s="428">
        <f>ROUND((SUM(Q42+Q37+Q39)/Q48),4)</f>
        <v>3.5799999999999998E-2</v>
      </c>
      <c r="R57" s="784">
        <f>ROUND((SUM(R42+R37+R39)/R48),4)</f>
        <v>2.4799999999999999E-2</v>
      </c>
    </row>
    <row r="58" spans="1:18" ht="39" thickBot="1">
      <c r="B58" s="429">
        <v>19</v>
      </c>
      <c r="C58" s="430" t="s">
        <v>285</v>
      </c>
      <c r="D58" s="431"/>
      <c r="E58" s="431"/>
      <c r="F58" s="432">
        <v>2.6599999999999999E-2</v>
      </c>
      <c r="G58" s="432">
        <v>3.7900000000000003E-2</v>
      </c>
      <c r="H58" s="432">
        <v>7.8600000000000003E-2</v>
      </c>
      <c r="I58" s="432">
        <f>ROUND((((G49+G50-G51)/G48+(F49+F50-F51)/F48+(H49+H50-H51)/H48)/3),4)</f>
        <v>8.5400000000000004E-2</v>
      </c>
      <c r="J58" s="433">
        <f t="shared" ref="J58:R58" si="11">ROUND((((H49+H50-H51)/H48+(G49+G50-G51)/G48+(I49+I50-I51)/I48)/3),4)</f>
        <v>9.1399999999999995E-2</v>
      </c>
      <c r="K58" s="432">
        <f t="shared" si="11"/>
        <v>8.1100000000000005E-2</v>
      </c>
      <c r="L58" s="432">
        <f t="shared" si="11"/>
        <v>7.2700000000000001E-2</v>
      </c>
      <c r="M58" s="432">
        <f t="shared" si="11"/>
        <v>6.6799999999999998E-2</v>
      </c>
      <c r="N58" s="432">
        <f>ROUND((((L49+L50-L51)/L48+(K49+K50-K51)/K48+(M49+M50-M51)/M48)/3),4)</f>
        <v>6.0299999999999999E-2</v>
      </c>
      <c r="O58" s="432">
        <f>ROUND((((M49+M50-M51)/M48+(L49+L50-L51)/L48+(N49+N50-N51)/N48)/3),4)</f>
        <v>5.8000000000000003E-2</v>
      </c>
      <c r="P58" s="432">
        <f>ROUND((((N49+N50-N51)/N48+(M49+M50-M51)/M48+(O49+O50-O51)/O48)/3),4)</f>
        <v>5.0900000000000001E-2</v>
      </c>
      <c r="Q58" s="432">
        <f t="shared" si="11"/>
        <v>4.1700000000000001E-2</v>
      </c>
      <c r="R58" s="785">
        <f t="shared" si="11"/>
        <v>3.4799999999999998E-2</v>
      </c>
    </row>
    <row r="59" spans="1:18" ht="13.5" thickTop="1"/>
    <row r="60" spans="1:18" ht="12.75" hidden="1"/>
    <row r="61" spans="1:18" ht="12.75" hidden="1"/>
    <row r="62" spans="1:18" ht="12.75" hidden="1"/>
    <row r="63" spans="1:18" ht="12.75" hidden="1"/>
    <row r="64" spans="1:18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sheet="1" objects="1" scenarios="1" insertColumns="0" insertRows="0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P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85" zoomScale="80" zoomScaleNormal="100" zoomScaleSheetLayoutView="80" workbookViewId="0">
      <selection activeCell="T132" sqref="T132:T135"/>
    </sheetView>
  </sheetViews>
  <sheetFormatPr defaultColWidth="0" defaultRowHeight="12.75"/>
  <cols>
    <col min="1" max="1" width="4.7109375" style="306" customWidth="1"/>
    <col min="2" max="2" width="4.42578125" style="307" customWidth="1"/>
    <col min="3" max="3" width="3.85546875" style="307" customWidth="1"/>
    <col min="4" max="4" width="4.7109375" style="307" customWidth="1"/>
    <col min="5" max="5" width="5.85546875" style="307" customWidth="1"/>
    <col min="6" max="6" width="6.7109375" style="308" customWidth="1"/>
    <col min="7" max="7" width="6.140625" style="308" customWidth="1"/>
    <col min="8" max="8" width="6.42578125" style="308" customWidth="1"/>
    <col min="9" max="9" width="6.85546875" style="308" customWidth="1"/>
    <col min="10" max="10" width="6.7109375" style="308" customWidth="1"/>
    <col min="11" max="11" width="7.140625" style="308" customWidth="1"/>
    <col min="12" max="12" width="15.85546875" style="308" customWidth="1"/>
    <col min="13" max="13" width="17.140625" style="308" customWidth="1"/>
    <col min="14" max="14" width="15" style="308" customWidth="1"/>
    <col min="15" max="15" width="2.140625" style="308" customWidth="1"/>
    <col min="16" max="16" width="15" style="308" customWidth="1"/>
    <col min="17" max="17" width="14.85546875" style="308" customWidth="1"/>
    <col min="18" max="18" width="12.7109375" style="308" customWidth="1"/>
    <col min="19" max="19" width="10.140625" style="308" customWidth="1"/>
    <col min="20" max="20" width="11" style="308" customWidth="1"/>
    <col min="21" max="21" width="7" style="308" customWidth="1"/>
    <col min="22" max="22" width="14" style="311" customWidth="1"/>
    <col min="23" max="23" width="3.140625" customWidth="1"/>
    <col min="24" max="16384" width="9.140625" hidden="1"/>
  </cols>
  <sheetData>
    <row r="1" spans="1:22" ht="24" customHeight="1">
      <c r="A1" s="281"/>
      <c r="B1" s="282"/>
      <c r="C1" s="282"/>
      <c r="D1" s="282"/>
      <c r="E1" s="282"/>
      <c r="F1" s="283"/>
      <c r="G1" s="283"/>
      <c r="H1" s="283"/>
      <c r="I1" s="283"/>
      <c r="J1" s="283"/>
      <c r="K1" s="283"/>
      <c r="L1" s="283"/>
      <c r="M1" s="442"/>
      <c r="N1" s="442"/>
      <c r="O1" s="442"/>
      <c r="P1" s="442"/>
      <c r="Q1" s="442"/>
      <c r="R1" s="442"/>
      <c r="S1" s="442"/>
      <c r="T1" s="442"/>
      <c r="U1" s="1119" t="s">
        <v>287</v>
      </c>
      <c r="V1" s="1119"/>
    </row>
    <row r="2" spans="1:22" ht="15.75">
      <c r="A2" s="281"/>
      <c r="B2" s="282"/>
      <c r="C2" s="282"/>
      <c r="D2" s="282"/>
      <c r="E2" s="282"/>
      <c r="F2" s="283"/>
      <c r="G2" s="283"/>
      <c r="H2" s="283"/>
      <c r="I2" s="283"/>
      <c r="J2" s="283"/>
      <c r="K2" s="283"/>
      <c r="L2" s="283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2" ht="21.75">
      <c r="A3" s="953" t="s">
        <v>173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</row>
    <row r="4" spans="1:22" ht="52.5" customHeight="1">
      <c r="A4" s="954" t="s">
        <v>174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</row>
    <row r="5" spans="1:22" ht="15.75" thickBot="1">
      <c r="A5" s="284"/>
      <c r="B5" s="285"/>
      <c r="C5" s="285"/>
      <c r="D5" s="285"/>
      <c r="E5" s="285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/>
    </row>
    <row r="6" spans="1:22" ht="13.5" thickTop="1">
      <c r="A6" s="955" t="s">
        <v>175</v>
      </c>
      <c r="B6" s="959" t="s">
        <v>133</v>
      </c>
      <c r="C6" s="960"/>
      <c r="D6" s="960" t="s">
        <v>134</v>
      </c>
      <c r="E6" s="960"/>
      <c r="F6" s="960" t="s">
        <v>135</v>
      </c>
      <c r="G6" s="960"/>
      <c r="H6" s="960"/>
      <c r="I6" s="960"/>
      <c r="J6" s="963" t="s">
        <v>136</v>
      </c>
      <c r="K6" s="964"/>
      <c r="L6" s="969" t="s">
        <v>137</v>
      </c>
      <c r="M6" s="963" t="s">
        <v>138</v>
      </c>
      <c r="N6" s="971"/>
      <c r="O6" s="971"/>
      <c r="P6" s="972"/>
      <c r="Q6" s="972"/>
      <c r="R6" s="972"/>
      <c r="S6" s="972"/>
      <c r="T6" s="972"/>
      <c r="U6" s="972"/>
      <c r="V6" s="973"/>
    </row>
    <row r="7" spans="1:22">
      <c r="A7" s="956"/>
      <c r="B7" s="961"/>
      <c r="C7" s="962"/>
      <c r="D7" s="962"/>
      <c r="E7" s="962"/>
      <c r="F7" s="962"/>
      <c r="G7" s="962"/>
      <c r="H7" s="962"/>
      <c r="I7" s="962"/>
      <c r="J7" s="965"/>
      <c r="K7" s="966"/>
      <c r="L7" s="970"/>
      <c r="M7" s="974"/>
      <c r="N7" s="975"/>
      <c r="O7" s="975"/>
      <c r="P7" s="975"/>
      <c r="Q7" s="975"/>
      <c r="R7" s="975"/>
      <c r="S7" s="975"/>
      <c r="T7" s="975"/>
      <c r="U7" s="975"/>
      <c r="V7" s="976"/>
    </row>
    <row r="8" spans="1:22">
      <c r="A8" s="956"/>
      <c r="B8" s="957" t="s">
        <v>139</v>
      </c>
      <c r="C8" s="990"/>
      <c r="D8" s="992" t="s">
        <v>140</v>
      </c>
      <c r="E8" s="990"/>
      <c r="F8" s="992" t="s">
        <v>141</v>
      </c>
      <c r="G8" s="993"/>
      <c r="H8" s="993"/>
      <c r="I8" s="990"/>
      <c r="J8" s="965"/>
      <c r="K8" s="966"/>
      <c r="L8" s="970"/>
      <c r="M8" s="977"/>
      <c r="N8" s="978"/>
      <c r="O8" s="978"/>
      <c r="P8" s="978"/>
      <c r="Q8" s="978"/>
      <c r="R8" s="978"/>
      <c r="S8" s="978"/>
      <c r="T8" s="978"/>
      <c r="U8" s="978"/>
      <c r="V8" s="979"/>
    </row>
    <row r="9" spans="1:22">
      <c r="A9" s="956"/>
      <c r="B9" s="991"/>
      <c r="C9" s="968"/>
      <c r="D9" s="967"/>
      <c r="E9" s="968"/>
      <c r="F9" s="967"/>
      <c r="G9" s="994"/>
      <c r="H9" s="994"/>
      <c r="I9" s="968"/>
      <c r="J9" s="965"/>
      <c r="K9" s="966"/>
      <c r="L9" s="970"/>
      <c r="M9" s="980" t="s">
        <v>176</v>
      </c>
      <c r="N9" s="980" t="s">
        <v>143</v>
      </c>
      <c r="O9" s="980" t="s">
        <v>144</v>
      </c>
      <c r="P9" s="980">
        <v>2012</v>
      </c>
      <c r="Q9" s="980">
        <v>2013</v>
      </c>
      <c r="R9" s="980">
        <v>2014</v>
      </c>
      <c r="S9" s="983" t="s">
        <v>177</v>
      </c>
      <c r="T9" s="983">
        <v>2020</v>
      </c>
      <c r="U9" s="983" t="s">
        <v>145</v>
      </c>
      <c r="V9" s="986"/>
    </row>
    <row r="10" spans="1:22">
      <c r="A10" s="957"/>
      <c r="B10" s="957" t="s">
        <v>146</v>
      </c>
      <c r="C10" s="993"/>
      <c r="D10" s="993"/>
      <c r="E10" s="993"/>
      <c r="F10" s="993"/>
      <c r="G10" s="993"/>
      <c r="H10" s="993"/>
      <c r="I10" s="990"/>
      <c r="J10" s="965"/>
      <c r="K10" s="966"/>
      <c r="L10" s="970"/>
      <c r="M10" s="995"/>
      <c r="N10" s="981"/>
      <c r="O10" s="981"/>
      <c r="P10" s="981"/>
      <c r="Q10" s="981"/>
      <c r="R10" s="981"/>
      <c r="S10" s="984"/>
      <c r="T10" s="984"/>
      <c r="U10" s="984"/>
      <c r="V10" s="987"/>
    </row>
    <row r="11" spans="1:22">
      <c r="A11" s="957"/>
      <c r="B11" s="997"/>
      <c r="C11" s="998"/>
      <c r="D11" s="998"/>
      <c r="E11" s="998"/>
      <c r="F11" s="998"/>
      <c r="G11" s="998"/>
      <c r="H11" s="998"/>
      <c r="I11" s="966"/>
      <c r="J11" s="967"/>
      <c r="K11" s="968"/>
      <c r="L11" s="970"/>
      <c r="M11" s="995"/>
      <c r="N11" s="981"/>
      <c r="O11" s="981"/>
      <c r="P11" s="981"/>
      <c r="Q11" s="981"/>
      <c r="R11" s="981"/>
      <c r="S11" s="984"/>
      <c r="T11" s="984"/>
      <c r="U11" s="984"/>
      <c r="V11" s="987"/>
    </row>
    <row r="12" spans="1:22">
      <c r="A12" s="957"/>
      <c r="B12" s="997"/>
      <c r="C12" s="998"/>
      <c r="D12" s="998"/>
      <c r="E12" s="998"/>
      <c r="F12" s="998"/>
      <c r="G12" s="998"/>
      <c r="H12" s="998"/>
      <c r="I12" s="966"/>
      <c r="J12" s="999" t="s">
        <v>147</v>
      </c>
      <c r="K12" s="999" t="s">
        <v>148</v>
      </c>
      <c r="L12" s="962" t="s">
        <v>149</v>
      </c>
      <c r="M12" s="995"/>
      <c r="N12" s="981"/>
      <c r="O12" s="981"/>
      <c r="P12" s="981"/>
      <c r="Q12" s="981"/>
      <c r="R12" s="981"/>
      <c r="S12" s="984"/>
      <c r="T12" s="984"/>
      <c r="U12" s="984"/>
      <c r="V12" s="987"/>
    </row>
    <row r="13" spans="1:22">
      <c r="A13" s="957"/>
      <c r="B13" s="991"/>
      <c r="C13" s="994"/>
      <c r="D13" s="994"/>
      <c r="E13" s="994"/>
      <c r="F13" s="994"/>
      <c r="G13" s="994"/>
      <c r="H13" s="994"/>
      <c r="I13" s="968"/>
      <c r="J13" s="999"/>
      <c r="K13" s="999"/>
      <c r="L13" s="962"/>
      <c r="M13" s="995"/>
      <c r="N13" s="981"/>
      <c r="O13" s="981"/>
      <c r="P13" s="981"/>
      <c r="Q13" s="981"/>
      <c r="R13" s="981"/>
      <c r="S13" s="984"/>
      <c r="T13" s="984"/>
      <c r="U13" s="984"/>
      <c r="V13" s="987"/>
    </row>
    <row r="14" spans="1:22">
      <c r="A14" s="957"/>
      <c r="B14" s="957" t="s">
        <v>150</v>
      </c>
      <c r="C14" s="993"/>
      <c r="D14" s="993"/>
      <c r="E14" s="993"/>
      <c r="F14" s="993"/>
      <c r="G14" s="993"/>
      <c r="H14" s="993"/>
      <c r="I14" s="990"/>
      <c r="J14" s="999"/>
      <c r="K14" s="999"/>
      <c r="L14" s="962"/>
      <c r="M14" s="995"/>
      <c r="N14" s="981"/>
      <c r="O14" s="981"/>
      <c r="P14" s="981"/>
      <c r="Q14" s="981"/>
      <c r="R14" s="981"/>
      <c r="S14" s="984"/>
      <c r="T14" s="984"/>
      <c r="U14" s="984"/>
      <c r="V14" s="987"/>
    </row>
    <row r="15" spans="1:22">
      <c r="A15" s="957"/>
      <c r="B15" s="997"/>
      <c r="C15" s="998"/>
      <c r="D15" s="998"/>
      <c r="E15" s="998"/>
      <c r="F15" s="998"/>
      <c r="G15" s="998"/>
      <c r="H15" s="998"/>
      <c r="I15" s="966"/>
      <c r="J15" s="999"/>
      <c r="K15" s="999"/>
      <c r="L15" s="962"/>
      <c r="M15" s="995"/>
      <c r="N15" s="981"/>
      <c r="O15" s="981"/>
      <c r="P15" s="981"/>
      <c r="Q15" s="981"/>
      <c r="R15" s="981"/>
      <c r="S15" s="984"/>
      <c r="T15" s="984"/>
      <c r="U15" s="984"/>
      <c r="V15" s="987"/>
    </row>
    <row r="16" spans="1:22">
      <c r="A16" s="957"/>
      <c r="B16" s="997"/>
      <c r="C16" s="998"/>
      <c r="D16" s="998"/>
      <c r="E16" s="998"/>
      <c r="F16" s="998"/>
      <c r="G16" s="998"/>
      <c r="H16" s="998"/>
      <c r="I16" s="966"/>
      <c r="J16" s="999"/>
      <c r="K16" s="999"/>
      <c r="L16" s="962"/>
      <c r="M16" s="995"/>
      <c r="N16" s="981"/>
      <c r="O16" s="981"/>
      <c r="P16" s="981"/>
      <c r="Q16" s="981"/>
      <c r="R16" s="981"/>
      <c r="S16" s="984"/>
      <c r="T16" s="984"/>
      <c r="U16" s="984"/>
      <c r="V16" s="987"/>
    </row>
    <row r="17" spans="1:22" ht="13.5" thickBot="1">
      <c r="A17" s="958"/>
      <c r="B17" s="1002"/>
      <c r="C17" s="1003"/>
      <c r="D17" s="1003"/>
      <c r="E17" s="1003"/>
      <c r="F17" s="1003"/>
      <c r="G17" s="1003"/>
      <c r="H17" s="1003"/>
      <c r="I17" s="1004"/>
      <c r="J17" s="1000"/>
      <c r="K17" s="1000"/>
      <c r="L17" s="1001"/>
      <c r="M17" s="982"/>
      <c r="N17" s="996"/>
      <c r="O17" s="996"/>
      <c r="P17" s="996"/>
      <c r="Q17" s="982"/>
      <c r="R17" s="982"/>
      <c r="S17" s="985"/>
      <c r="T17" s="985"/>
      <c r="U17" s="988"/>
      <c r="V17" s="989"/>
    </row>
    <row r="18" spans="1:22" ht="14.25" thickTop="1" thickBot="1">
      <c r="A18" s="288"/>
      <c r="B18" s="289"/>
      <c r="C18" s="289"/>
      <c r="D18" s="289"/>
      <c r="E18" s="289"/>
      <c r="F18" s="289"/>
      <c r="G18" s="289"/>
      <c r="H18" s="289"/>
      <c r="I18" s="289"/>
      <c r="J18" s="289"/>
      <c r="K18" s="288"/>
      <c r="L18" s="290"/>
      <c r="M18" s="290"/>
      <c r="N18" s="288"/>
      <c r="O18" s="288"/>
      <c r="P18" s="288"/>
      <c r="Q18" s="288"/>
      <c r="R18" s="288"/>
      <c r="S18" s="288"/>
      <c r="T18" s="288"/>
      <c r="U18" s="288"/>
      <c r="V18" s="291"/>
    </row>
    <row r="19" spans="1:22" ht="13.5" thickTop="1">
      <c r="A19" s="1005">
        <v>1</v>
      </c>
      <c r="B19" s="1009" t="s">
        <v>133</v>
      </c>
      <c r="C19" s="1010"/>
      <c r="D19" s="1010">
        <v>801</v>
      </c>
      <c r="E19" s="1010"/>
      <c r="F19" s="1013" t="s">
        <v>178</v>
      </c>
      <c r="G19" s="1013"/>
      <c r="H19" s="1013"/>
      <c r="I19" s="1013"/>
      <c r="J19" s="1015">
        <v>2010</v>
      </c>
      <c r="K19" s="1015">
        <v>2012</v>
      </c>
      <c r="L19" s="1040">
        <f>SUM(N19,L25)</f>
        <v>79012</v>
      </c>
      <c r="M19" s="1042" t="s">
        <v>152</v>
      </c>
      <c r="N19" s="1027">
        <f>SUM(N23:N30)</f>
        <v>16883</v>
      </c>
      <c r="O19" s="1044" t="s">
        <v>144</v>
      </c>
      <c r="P19" s="1027">
        <f>SUM(P23:P30)</f>
        <v>16883</v>
      </c>
      <c r="Q19" s="1027">
        <f t="shared" ref="Q19:T19" si="0">SUM(Q23:Q30)</f>
        <v>0</v>
      </c>
      <c r="R19" s="1027">
        <f t="shared" si="0"/>
        <v>0</v>
      </c>
      <c r="S19" s="1027">
        <f t="shared" si="0"/>
        <v>0</v>
      </c>
      <c r="T19" s="1027">
        <f t="shared" si="0"/>
        <v>0</v>
      </c>
      <c r="U19" s="1029">
        <f>SUM(V23:V30)</f>
        <v>16883</v>
      </c>
      <c r="V19" s="1030"/>
    </row>
    <row r="20" spans="1:22">
      <c r="A20" s="1006"/>
      <c r="B20" s="1011"/>
      <c r="C20" s="1012"/>
      <c r="D20" s="1012"/>
      <c r="E20" s="1012"/>
      <c r="F20" s="1014"/>
      <c r="G20" s="1014"/>
      <c r="H20" s="1014"/>
      <c r="I20" s="1014"/>
      <c r="J20" s="1016"/>
      <c r="K20" s="1016"/>
      <c r="L20" s="1041"/>
      <c r="M20" s="1043"/>
      <c r="N20" s="1028"/>
      <c r="O20" s="1036"/>
      <c r="P20" s="1028"/>
      <c r="Q20" s="1028"/>
      <c r="R20" s="1028"/>
      <c r="S20" s="1028"/>
      <c r="T20" s="1028"/>
      <c r="U20" s="1031"/>
      <c r="V20" s="1032"/>
    </row>
    <row r="21" spans="1:22">
      <c r="A21" s="1006"/>
      <c r="B21" s="1035" t="s">
        <v>139</v>
      </c>
      <c r="C21" s="1036"/>
      <c r="D21" s="1036">
        <v>80195</v>
      </c>
      <c r="E21" s="1036"/>
      <c r="F21" s="1014" t="s">
        <v>167</v>
      </c>
      <c r="G21" s="1014"/>
      <c r="H21" s="1014"/>
      <c r="I21" s="1014"/>
      <c r="J21" s="1016"/>
      <c r="K21" s="1016"/>
      <c r="L21" s="1041"/>
      <c r="M21" s="1043"/>
      <c r="N21" s="1028"/>
      <c r="O21" s="1036"/>
      <c r="P21" s="1028"/>
      <c r="Q21" s="1028"/>
      <c r="R21" s="1028"/>
      <c r="S21" s="1028"/>
      <c r="T21" s="1028"/>
      <c r="U21" s="1031"/>
      <c r="V21" s="1032"/>
    </row>
    <row r="22" spans="1:22">
      <c r="A22" s="1006"/>
      <c r="B22" s="1037"/>
      <c r="C22" s="1038"/>
      <c r="D22" s="1038"/>
      <c r="E22" s="1038"/>
      <c r="F22" s="1039"/>
      <c r="G22" s="1039"/>
      <c r="H22" s="1039"/>
      <c r="I22" s="1039"/>
      <c r="J22" s="1016"/>
      <c r="K22" s="1016"/>
      <c r="L22" s="1041"/>
      <c r="M22" s="1043"/>
      <c r="N22" s="1028"/>
      <c r="O22" s="1036"/>
      <c r="P22" s="1028"/>
      <c r="Q22" s="1028"/>
      <c r="R22" s="1028"/>
      <c r="S22" s="1028"/>
      <c r="T22" s="1028"/>
      <c r="U22" s="1033"/>
      <c r="V22" s="1034"/>
    </row>
    <row r="23" spans="1:22">
      <c r="A23" s="1007"/>
      <c r="B23" s="1007" t="s">
        <v>179</v>
      </c>
      <c r="C23" s="1019"/>
      <c r="D23" s="1019"/>
      <c r="E23" s="1019"/>
      <c r="F23" s="1019"/>
      <c r="G23" s="1019"/>
      <c r="H23" s="1019"/>
      <c r="I23" s="1020"/>
      <c r="J23" s="1017"/>
      <c r="K23" s="1016"/>
      <c r="L23" s="1041"/>
      <c r="M23" s="1045" t="s">
        <v>180</v>
      </c>
      <c r="N23" s="1048">
        <f>SUM(P23:T30)</f>
        <v>16883</v>
      </c>
      <c r="O23" s="1036" t="s">
        <v>144</v>
      </c>
      <c r="P23" s="1048">
        <v>16883</v>
      </c>
      <c r="Q23" s="1048"/>
      <c r="R23" s="1048"/>
      <c r="S23" s="1048"/>
      <c r="T23" s="1048"/>
      <c r="U23" s="1063" t="s">
        <v>181</v>
      </c>
      <c r="V23" s="1065">
        <f>P19</f>
        <v>16883</v>
      </c>
    </row>
    <row r="24" spans="1:22">
      <c r="A24" s="1007"/>
      <c r="B24" s="1021"/>
      <c r="C24" s="1022"/>
      <c r="D24" s="1022"/>
      <c r="E24" s="1022"/>
      <c r="F24" s="1022"/>
      <c r="G24" s="1022"/>
      <c r="H24" s="1022"/>
      <c r="I24" s="1023"/>
      <c r="J24" s="1017"/>
      <c r="K24" s="1016"/>
      <c r="L24" s="1041"/>
      <c r="M24" s="1046"/>
      <c r="N24" s="1049"/>
      <c r="O24" s="1036"/>
      <c r="P24" s="1049"/>
      <c r="Q24" s="1049"/>
      <c r="R24" s="1049"/>
      <c r="S24" s="1049"/>
      <c r="T24" s="1049"/>
      <c r="U24" s="1064"/>
      <c r="V24" s="1052"/>
    </row>
    <row r="25" spans="1:22">
      <c r="A25" s="1007"/>
      <c r="B25" s="1021"/>
      <c r="C25" s="1022"/>
      <c r="D25" s="1022"/>
      <c r="E25" s="1022"/>
      <c r="F25" s="1022"/>
      <c r="G25" s="1022"/>
      <c r="H25" s="1022"/>
      <c r="I25" s="1023"/>
      <c r="J25" s="1017"/>
      <c r="K25" s="1016"/>
      <c r="L25" s="1066">
        <v>62129</v>
      </c>
      <c r="M25" s="1046"/>
      <c r="N25" s="1049"/>
      <c r="O25" s="1036"/>
      <c r="P25" s="1049"/>
      <c r="Q25" s="1049"/>
      <c r="R25" s="1049"/>
      <c r="S25" s="1049"/>
      <c r="T25" s="1049"/>
      <c r="U25" s="1064" t="s">
        <v>190</v>
      </c>
      <c r="V25" s="1052">
        <f>Q19</f>
        <v>0</v>
      </c>
    </row>
    <row r="26" spans="1:22">
      <c r="A26" s="1007"/>
      <c r="B26" s="1024"/>
      <c r="C26" s="1025"/>
      <c r="D26" s="1025"/>
      <c r="E26" s="1025"/>
      <c r="F26" s="1025"/>
      <c r="G26" s="1025"/>
      <c r="H26" s="1025"/>
      <c r="I26" s="1026"/>
      <c r="J26" s="1017"/>
      <c r="K26" s="1016"/>
      <c r="L26" s="1066"/>
      <c r="M26" s="1046"/>
      <c r="N26" s="1049"/>
      <c r="O26" s="1036"/>
      <c r="P26" s="1049"/>
      <c r="Q26" s="1049"/>
      <c r="R26" s="1049"/>
      <c r="S26" s="1049"/>
      <c r="T26" s="1049"/>
      <c r="U26" s="1064"/>
      <c r="V26" s="1052"/>
    </row>
    <row r="27" spans="1:22">
      <c r="A27" s="1007"/>
      <c r="B27" s="1053" t="s">
        <v>182</v>
      </c>
      <c r="C27" s="1054"/>
      <c r="D27" s="1054"/>
      <c r="E27" s="1054"/>
      <c r="F27" s="1054"/>
      <c r="G27" s="1054"/>
      <c r="H27" s="1054"/>
      <c r="I27" s="1055"/>
      <c r="J27" s="1016"/>
      <c r="K27" s="1016"/>
      <c r="L27" s="1066"/>
      <c r="M27" s="1046"/>
      <c r="N27" s="1049"/>
      <c r="O27" s="1036"/>
      <c r="P27" s="1049"/>
      <c r="Q27" s="1049"/>
      <c r="R27" s="1049"/>
      <c r="S27" s="1049"/>
      <c r="T27" s="1049"/>
      <c r="U27" s="1059"/>
      <c r="V27" s="1060">
        <f>R19</f>
        <v>0</v>
      </c>
    </row>
    <row r="28" spans="1:22">
      <c r="A28" s="1007"/>
      <c r="B28" s="1053"/>
      <c r="C28" s="1054"/>
      <c r="D28" s="1054"/>
      <c r="E28" s="1054"/>
      <c r="F28" s="1054"/>
      <c r="G28" s="1054"/>
      <c r="H28" s="1054"/>
      <c r="I28" s="1055"/>
      <c r="J28" s="1016"/>
      <c r="K28" s="1016"/>
      <c r="L28" s="1066"/>
      <c r="M28" s="1046"/>
      <c r="N28" s="1049"/>
      <c r="O28" s="1036"/>
      <c r="P28" s="1049"/>
      <c r="Q28" s="1049"/>
      <c r="R28" s="1049"/>
      <c r="S28" s="1049"/>
      <c r="T28" s="1049"/>
      <c r="U28" s="1059"/>
      <c r="V28" s="1060"/>
    </row>
    <row r="29" spans="1:22">
      <c r="A29" s="1007"/>
      <c r="B29" s="1053"/>
      <c r="C29" s="1054"/>
      <c r="D29" s="1054"/>
      <c r="E29" s="1054"/>
      <c r="F29" s="1054"/>
      <c r="G29" s="1054"/>
      <c r="H29" s="1054"/>
      <c r="I29" s="1055"/>
      <c r="J29" s="1016"/>
      <c r="K29" s="1016"/>
      <c r="L29" s="1066"/>
      <c r="M29" s="1046"/>
      <c r="N29" s="1049"/>
      <c r="O29" s="1036"/>
      <c r="P29" s="1049"/>
      <c r="Q29" s="1049"/>
      <c r="R29" s="1049"/>
      <c r="S29" s="1049"/>
      <c r="T29" s="1049"/>
      <c r="U29" s="1059"/>
      <c r="V29" s="1060">
        <f>S19</f>
        <v>0</v>
      </c>
    </row>
    <row r="30" spans="1:22" ht="13.5" thickBot="1">
      <c r="A30" s="1008"/>
      <c r="B30" s="1056"/>
      <c r="C30" s="1057"/>
      <c r="D30" s="1057"/>
      <c r="E30" s="1057"/>
      <c r="F30" s="1057"/>
      <c r="G30" s="1057"/>
      <c r="H30" s="1057"/>
      <c r="I30" s="1058"/>
      <c r="J30" s="1018"/>
      <c r="K30" s="1018"/>
      <c r="L30" s="1067"/>
      <c r="M30" s="1047"/>
      <c r="N30" s="1050"/>
      <c r="O30" s="1051"/>
      <c r="P30" s="1050"/>
      <c r="Q30" s="1050"/>
      <c r="R30" s="1050"/>
      <c r="S30" s="1050"/>
      <c r="T30" s="1050"/>
      <c r="U30" s="1061"/>
      <c r="V30" s="1062"/>
    </row>
    <row r="31" spans="1:22" ht="14.25" thickTop="1" thickBot="1">
      <c r="A31" s="292"/>
      <c r="B31" s="293"/>
      <c r="C31" s="293"/>
      <c r="D31" s="293"/>
      <c r="E31" s="293"/>
      <c r="F31" s="293"/>
      <c r="G31" s="293"/>
      <c r="H31" s="293"/>
      <c r="I31" s="293"/>
      <c r="J31" s="292"/>
      <c r="K31" s="292"/>
      <c r="L31" s="292"/>
      <c r="M31" s="292"/>
      <c r="N31" s="292"/>
      <c r="O31" s="292"/>
      <c r="P31" s="294"/>
      <c r="Q31" s="294"/>
      <c r="R31" s="294"/>
      <c r="S31" s="294"/>
      <c r="T31" s="294"/>
      <c r="U31" s="294"/>
      <c r="V31" s="295"/>
    </row>
    <row r="32" spans="1:22" ht="13.5" thickTop="1">
      <c r="A32" s="1005">
        <v>2</v>
      </c>
      <c r="B32" s="1009" t="s">
        <v>133</v>
      </c>
      <c r="C32" s="1010"/>
      <c r="D32" s="1010">
        <v>801</v>
      </c>
      <c r="E32" s="1010"/>
      <c r="F32" s="1013" t="s">
        <v>178</v>
      </c>
      <c r="G32" s="1013"/>
      <c r="H32" s="1013"/>
      <c r="I32" s="1013"/>
      <c r="J32" s="1015">
        <v>2010</v>
      </c>
      <c r="K32" s="1015">
        <v>2012</v>
      </c>
      <c r="L32" s="1040">
        <f>SUM(N32,L38)</f>
        <v>463598</v>
      </c>
      <c r="M32" s="1042" t="s">
        <v>152</v>
      </c>
      <c r="N32" s="1027">
        <f>SUM(N36:N43)</f>
        <v>128413</v>
      </c>
      <c r="O32" s="1044" t="s">
        <v>144</v>
      </c>
      <c r="P32" s="1027">
        <f>SUM(P36:P43)</f>
        <v>128413</v>
      </c>
      <c r="Q32" s="1027">
        <f t="shared" ref="Q32:T32" si="1">SUM(Q36:Q43)</f>
        <v>0</v>
      </c>
      <c r="R32" s="1027">
        <f t="shared" si="1"/>
        <v>0</v>
      </c>
      <c r="S32" s="1027">
        <f t="shared" si="1"/>
        <v>0</v>
      </c>
      <c r="T32" s="1027">
        <f t="shared" si="1"/>
        <v>0</v>
      </c>
      <c r="U32" s="1029">
        <f>SUM(V36:V43)</f>
        <v>128413</v>
      </c>
      <c r="V32" s="1030"/>
    </row>
    <row r="33" spans="1:22">
      <c r="A33" s="1006"/>
      <c r="B33" s="1011"/>
      <c r="C33" s="1012"/>
      <c r="D33" s="1012"/>
      <c r="E33" s="1012"/>
      <c r="F33" s="1014"/>
      <c r="G33" s="1014"/>
      <c r="H33" s="1014"/>
      <c r="I33" s="1014"/>
      <c r="J33" s="1016"/>
      <c r="K33" s="1016"/>
      <c r="L33" s="1041"/>
      <c r="M33" s="1043"/>
      <c r="N33" s="1028"/>
      <c r="O33" s="1036"/>
      <c r="P33" s="1028"/>
      <c r="Q33" s="1028"/>
      <c r="R33" s="1028"/>
      <c r="S33" s="1028"/>
      <c r="T33" s="1028"/>
      <c r="U33" s="1031"/>
      <c r="V33" s="1032"/>
    </row>
    <row r="34" spans="1:22">
      <c r="A34" s="1006"/>
      <c r="B34" s="1035" t="s">
        <v>139</v>
      </c>
      <c r="C34" s="1036"/>
      <c r="D34" s="1036">
        <v>80195</v>
      </c>
      <c r="E34" s="1036"/>
      <c r="F34" s="1014" t="s">
        <v>167</v>
      </c>
      <c r="G34" s="1014"/>
      <c r="H34" s="1014"/>
      <c r="I34" s="1014"/>
      <c r="J34" s="1016"/>
      <c r="K34" s="1016"/>
      <c r="L34" s="1041"/>
      <c r="M34" s="1043"/>
      <c r="N34" s="1028"/>
      <c r="O34" s="1036"/>
      <c r="P34" s="1028"/>
      <c r="Q34" s="1028"/>
      <c r="R34" s="1028"/>
      <c r="S34" s="1028"/>
      <c r="T34" s="1028"/>
      <c r="U34" s="1031"/>
      <c r="V34" s="1032"/>
    </row>
    <row r="35" spans="1:22">
      <c r="A35" s="1006"/>
      <c r="B35" s="1037"/>
      <c r="C35" s="1038"/>
      <c r="D35" s="1038"/>
      <c r="E35" s="1038"/>
      <c r="F35" s="1039"/>
      <c r="G35" s="1039"/>
      <c r="H35" s="1039"/>
      <c r="I35" s="1039"/>
      <c r="J35" s="1016"/>
      <c r="K35" s="1016"/>
      <c r="L35" s="1041"/>
      <c r="M35" s="1043"/>
      <c r="N35" s="1028"/>
      <c r="O35" s="1036"/>
      <c r="P35" s="1028"/>
      <c r="Q35" s="1028"/>
      <c r="R35" s="1028"/>
      <c r="S35" s="1028"/>
      <c r="T35" s="1028"/>
      <c r="U35" s="1033"/>
      <c r="V35" s="1034"/>
    </row>
    <row r="36" spans="1:22" ht="13.5" thickBot="1">
      <c r="A36" s="1007"/>
      <c r="B36" s="1007" t="s">
        <v>183</v>
      </c>
      <c r="C36" s="1019"/>
      <c r="D36" s="1019"/>
      <c r="E36" s="1019"/>
      <c r="F36" s="1019"/>
      <c r="G36" s="1019"/>
      <c r="H36" s="1019"/>
      <c r="I36" s="1020"/>
      <c r="J36" s="1017"/>
      <c r="K36" s="1016"/>
      <c r="L36" s="1041"/>
      <c r="M36" s="1068" t="s">
        <v>180</v>
      </c>
      <c r="N36" s="1069">
        <f>SUM(P36:T39)</f>
        <v>109152</v>
      </c>
      <c r="O36" s="1036" t="s">
        <v>144</v>
      </c>
      <c r="P36" s="1069">
        <v>109152</v>
      </c>
      <c r="Q36" s="1069"/>
      <c r="R36" s="1069"/>
      <c r="S36" s="1069"/>
      <c r="T36" s="1050"/>
      <c r="U36" s="1063" t="s">
        <v>181</v>
      </c>
      <c r="V36" s="1065">
        <f>P32</f>
        <v>128413</v>
      </c>
    </row>
    <row r="37" spans="1:22" ht="14.25" thickTop="1" thickBot="1">
      <c r="A37" s="1007"/>
      <c r="B37" s="1021"/>
      <c r="C37" s="1022"/>
      <c r="D37" s="1022"/>
      <c r="E37" s="1022"/>
      <c r="F37" s="1022"/>
      <c r="G37" s="1022"/>
      <c r="H37" s="1022"/>
      <c r="I37" s="1023"/>
      <c r="J37" s="1017"/>
      <c r="K37" s="1016"/>
      <c r="L37" s="1041"/>
      <c r="M37" s="1068"/>
      <c r="N37" s="1036"/>
      <c r="O37" s="1036"/>
      <c r="P37" s="1069"/>
      <c r="Q37" s="1069"/>
      <c r="R37" s="1069"/>
      <c r="S37" s="1069"/>
      <c r="T37" s="1071"/>
      <c r="U37" s="1064"/>
      <c r="V37" s="1052"/>
    </row>
    <row r="38" spans="1:22" ht="14.25" thickTop="1" thickBot="1">
      <c r="A38" s="1007"/>
      <c r="B38" s="1021"/>
      <c r="C38" s="1022"/>
      <c r="D38" s="1022"/>
      <c r="E38" s="1022"/>
      <c r="F38" s="1022"/>
      <c r="G38" s="1022"/>
      <c r="H38" s="1022"/>
      <c r="I38" s="1023"/>
      <c r="J38" s="1017"/>
      <c r="K38" s="1016"/>
      <c r="L38" s="1066">
        <v>335185</v>
      </c>
      <c r="M38" s="1068"/>
      <c r="N38" s="1036"/>
      <c r="O38" s="1036"/>
      <c r="P38" s="1069"/>
      <c r="Q38" s="1069"/>
      <c r="R38" s="1069"/>
      <c r="S38" s="1069"/>
      <c r="T38" s="1071"/>
      <c r="U38" s="1064" t="s">
        <v>190</v>
      </c>
      <c r="V38" s="1052">
        <f>Q32</f>
        <v>0</v>
      </c>
    </row>
    <row r="39" spans="1:22" ht="13.5" thickTop="1">
      <c r="A39" s="1007"/>
      <c r="B39" s="1024"/>
      <c r="C39" s="1025"/>
      <c r="D39" s="1025"/>
      <c r="E39" s="1025"/>
      <c r="F39" s="1025"/>
      <c r="G39" s="1025"/>
      <c r="H39" s="1025"/>
      <c r="I39" s="1026"/>
      <c r="J39" s="1017"/>
      <c r="K39" s="1016"/>
      <c r="L39" s="1066"/>
      <c r="M39" s="1068"/>
      <c r="N39" s="1036"/>
      <c r="O39" s="1036"/>
      <c r="P39" s="1069"/>
      <c r="Q39" s="1069"/>
      <c r="R39" s="1069"/>
      <c r="S39" s="1069"/>
      <c r="T39" s="1073"/>
      <c r="U39" s="1064"/>
      <c r="V39" s="1052"/>
    </row>
    <row r="40" spans="1:22" ht="13.5" thickBot="1">
      <c r="A40" s="1007"/>
      <c r="B40" s="1053" t="s">
        <v>184</v>
      </c>
      <c r="C40" s="1054"/>
      <c r="D40" s="1054"/>
      <c r="E40" s="1054"/>
      <c r="F40" s="1054"/>
      <c r="G40" s="1054"/>
      <c r="H40" s="1054"/>
      <c r="I40" s="1055"/>
      <c r="J40" s="1016"/>
      <c r="K40" s="1016"/>
      <c r="L40" s="1066"/>
      <c r="M40" s="1045" t="s">
        <v>185</v>
      </c>
      <c r="N40" s="1069">
        <f>SUM(P40:T43)</f>
        <v>19261</v>
      </c>
      <c r="O40" s="1036" t="s">
        <v>144</v>
      </c>
      <c r="P40" s="1069">
        <v>19261</v>
      </c>
      <c r="Q40" s="1069"/>
      <c r="R40" s="1069"/>
      <c r="S40" s="1069"/>
      <c r="T40" s="1050"/>
      <c r="U40" s="1064"/>
      <c r="V40" s="1060">
        <f>R32</f>
        <v>0</v>
      </c>
    </row>
    <row r="41" spans="1:22" ht="14.25" thickTop="1" thickBot="1">
      <c r="A41" s="1007"/>
      <c r="B41" s="1053"/>
      <c r="C41" s="1054"/>
      <c r="D41" s="1054"/>
      <c r="E41" s="1054"/>
      <c r="F41" s="1054"/>
      <c r="G41" s="1054"/>
      <c r="H41" s="1054"/>
      <c r="I41" s="1055"/>
      <c r="J41" s="1016"/>
      <c r="K41" s="1016"/>
      <c r="L41" s="1066"/>
      <c r="M41" s="1046"/>
      <c r="N41" s="1036"/>
      <c r="O41" s="1036"/>
      <c r="P41" s="1069"/>
      <c r="Q41" s="1069"/>
      <c r="R41" s="1069"/>
      <c r="S41" s="1069"/>
      <c r="T41" s="1071"/>
      <c r="U41" s="1064"/>
      <c r="V41" s="1060"/>
    </row>
    <row r="42" spans="1:22" ht="14.25" thickTop="1" thickBot="1">
      <c r="A42" s="1007"/>
      <c r="B42" s="1053"/>
      <c r="C42" s="1054"/>
      <c r="D42" s="1054"/>
      <c r="E42" s="1054"/>
      <c r="F42" s="1054"/>
      <c r="G42" s="1054"/>
      <c r="H42" s="1054"/>
      <c r="I42" s="1055"/>
      <c r="J42" s="1016"/>
      <c r="K42" s="1016"/>
      <c r="L42" s="1066"/>
      <c r="M42" s="1046"/>
      <c r="N42" s="1036"/>
      <c r="O42" s="1036"/>
      <c r="P42" s="1069"/>
      <c r="Q42" s="1069"/>
      <c r="R42" s="1069"/>
      <c r="S42" s="1069"/>
      <c r="T42" s="1071"/>
      <c r="U42" s="1064"/>
      <c r="V42" s="1060">
        <f>S32</f>
        <v>0</v>
      </c>
    </row>
    <row r="43" spans="1:22" ht="14.25" thickTop="1" thickBot="1">
      <c r="A43" s="1008"/>
      <c r="B43" s="1056"/>
      <c r="C43" s="1057"/>
      <c r="D43" s="1057"/>
      <c r="E43" s="1057"/>
      <c r="F43" s="1057"/>
      <c r="G43" s="1057"/>
      <c r="H43" s="1057"/>
      <c r="I43" s="1058"/>
      <c r="J43" s="1018"/>
      <c r="K43" s="1018"/>
      <c r="L43" s="1067"/>
      <c r="M43" s="1047"/>
      <c r="N43" s="1051"/>
      <c r="O43" s="1051"/>
      <c r="P43" s="1070"/>
      <c r="Q43" s="1070"/>
      <c r="R43" s="1070"/>
      <c r="S43" s="1070"/>
      <c r="T43" s="1071"/>
      <c r="U43" s="1072"/>
      <c r="V43" s="1062"/>
    </row>
    <row r="44" spans="1:22" ht="14.25" thickTop="1" thickBot="1">
      <c r="A44" s="292"/>
      <c r="B44" s="293"/>
      <c r="C44" s="293"/>
      <c r="D44" s="293"/>
      <c r="E44" s="293"/>
      <c r="F44" s="293"/>
      <c r="G44" s="293"/>
      <c r="H44" s="293"/>
      <c r="I44" s="293"/>
      <c r="J44" s="296"/>
      <c r="K44" s="296"/>
      <c r="L44" s="297"/>
      <c r="M44" s="296"/>
      <c r="N44" s="296"/>
      <c r="O44" s="296"/>
      <c r="P44" s="298"/>
      <c r="Q44" s="298"/>
      <c r="R44" s="298"/>
      <c r="S44" s="298"/>
      <c r="T44" s="298"/>
      <c r="U44" s="298"/>
      <c r="V44" s="299"/>
    </row>
    <row r="45" spans="1:22" ht="13.5" thickTop="1">
      <c r="A45" s="1005">
        <v>3</v>
      </c>
      <c r="B45" s="1009" t="s">
        <v>133</v>
      </c>
      <c r="C45" s="1010"/>
      <c r="D45" s="1010">
        <v>852</v>
      </c>
      <c r="E45" s="1010"/>
      <c r="F45" s="1013" t="s">
        <v>186</v>
      </c>
      <c r="G45" s="1013"/>
      <c r="H45" s="1013"/>
      <c r="I45" s="1013"/>
      <c r="J45" s="1015">
        <v>2008</v>
      </c>
      <c r="K45" s="1015">
        <v>2013</v>
      </c>
      <c r="L45" s="1074">
        <f>SUM(N45,L53)</f>
        <v>3446002</v>
      </c>
      <c r="M45" s="1042" t="s">
        <v>152</v>
      </c>
      <c r="N45" s="1027">
        <f>SUM(N49:N60)</f>
        <v>1321338</v>
      </c>
      <c r="O45" s="1044" t="s">
        <v>144</v>
      </c>
      <c r="P45" s="1027">
        <f t="shared" ref="P45:T45" si="2">SUM(P49:P60)</f>
        <v>660669</v>
      </c>
      <c r="Q45" s="1027">
        <f t="shared" si="2"/>
        <v>660669</v>
      </c>
      <c r="R45" s="1027">
        <f t="shared" si="2"/>
        <v>0</v>
      </c>
      <c r="S45" s="1027">
        <f t="shared" si="2"/>
        <v>0</v>
      </c>
      <c r="T45" s="1027">
        <f t="shared" si="2"/>
        <v>0</v>
      </c>
      <c r="U45" s="1079">
        <f>SUM(V49:V60)</f>
        <v>1321338</v>
      </c>
      <c r="V45" s="1030"/>
    </row>
    <row r="46" spans="1:22">
      <c r="A46" s="1006"/>
      <c r="B46" s="1011"/>
      <c r="C46" s="1012"/>
      <c r="D46" s="1012"/>
      <c r="E46" s="1012"/>
      <c r="F46" s="1014"/>
      <c r="G46" s="1014"/>
      <c r="H46" s="1014"/>
      <c r="I46" s="1014"/>
      <c r="J46" s="1016"/>
      <c r="K46" s="1016"/>
      <c r="L46" s="1075"/>
      <c r="M46" s="1043"/>
      <c r="N46" s="1028"/>
      <c r="O46" s="1036"/>
      <c r="P46" s="1028"/>
      <c r="Q46" s="1028"/>
      <c r="R46" s="1028"/>
      <c r="S46" s="1028"/>
      <c r="T46" s="1028"/>
      <c r="U46" s="1080"/>
      <c r="V46" s="1032"/>
    </row>
    <row r="47" spans="1:22">
      <c r="A47" s="1006"/>
      <c r="B47" s="1035" t="s">
        <v>139</v>
      </c>
      <c r="C47" s="1036"/>
      <c r="D47" s="1036">
        <v>85214</v>
      </c>
      <c r="E47" s="1036"/>
      <c r="F47" s="1014" t="s">
        <v>187</v>
      </c>
      <c r="G47" s="1014"/>
      <c r="H47" s="1014"/>
      <c r="I47" s="1014"/>
      <c r="J47" s="1016"/>
      <c r="K47" s="1016"/>
      <c r="L47" s="1075"/>
      <c r="M47" s="1043"/>
      <c r="N47" s="1028"/>
      <c r="O47" s="1036"/>
      <c r="P47" s="1028"/>
      <c r="Q47" s="1028"/>
      <c r="R47" s="1028"/>
      <c r="S47" s="1028"/>
      <c r="T47" s="1028"/>
      <c r="U47" s="1080"/>
      <c r="V47" s="1032"/>
    </row>
    <row r="48" spans="1:22">
      <c r="A48" s="1006"/>
      <c r="B48" s="1037"/>
      <c r="C48" s="1038"/>
      <c r="D48" s="1038"/>
      <c r="E48" s="1038"/>
      <c r="F48" s="1039"/>
      <c r="G48" s="1039"/>
      <c r="H48" s="1039"/>
      <c r="I48" s="1039"/>
      <c r="J48" s="1016"/>
      <c r="K48" s="1016"/>
      <c r="L48" s="1075"/>
      <c r="M48" s="1043"/>
      <c r="N48" s="1028"/>
      <c r="O48" s="1036"/>
      <c r="P48" s="1028"/>
      <c r="Q48" s="1028"/>
      <c r="R48" s="1028"/>
      <c r="S48" s="1028"/>
      <c r="T48" s="1028"/>
      <c r="U48" s="1081"/>
      <c r="V48" s="1034"/>
    </row>
    <row r="49" spans="1:22">
      <c r="A49" s="1007"/>
      <c r="B49" s="1035" t="s">
        <v>139</v>
      </c>
      <c r="C49" s="1036"/>
      <c r="D49" s="1036">
        <v>85295</v>
      </c>
      <c r="E49" s="1036"/>
      <c r="F49" s="1014" t="s">
        <v>167</v>
      </c>
      <c r="G49" s="1014"/>
      <c r="H49" s="1014"/>
      <c r="I49" s="1014"/>
      <c r="J49" s="1017"/>
      <c r="K49" s="1016"/>
      <c r="L49" s="1075"/>
      <c r="M49" s="1068" t="s">
        <v>188</v>
      </c>
      <c r="N49" s="1069">
        <f>SUM(P49:T52)</f>
        <v>162310</v>
      </c>
      <c r="O49" s="1036" t="s">
        <v>144</v>
      </c>
      <c r="P49" s="1069">
        <v>81155</v>
      </c>
      <c r="Q49" s="1069">
        <v>81155</v>
      </c>
      <c r="R49" s="1069"/>
      <c r="S49" s="1069"/>
      <c r="T49" s="1069"/>
      <c r="U49" s="1077" t="s">
        <v>181</v>
      </c>
      <c r="V49" s="1065">
        <f>P45</f>
        <v>660669</v>
      </c>
    </row>
    <row r="50" spans="1:22">
      <c r="A50" s="1007"/>
      <c r="B50" s="1035"/>
      <c r="C50" s="1036"/>
      <c r="D50" s="1038"/>
      <c r="E50" s="1038"/>
      <c r="F50" s="1039"/>
      <c r="G50" s="1039"/>
      <c r="H50" s="1039"/>
      <c r="I50" s="1039"/>
      <c r="J50" s="1017"/>
      <c r="K50" s="1016"/>
      <c r="L50" s="1075"/>
      <c r="M50" s="1068"/>
      <c r="N50" s="1069"/>
      <c r="O50" s="1036"/>
      <c r="P50" s="1069"/>
      <c r="Q50" s="1069"/>
      <c r="R50" s="1069"/>
      <c r="S50" s="1069"/>
      <c r="T50" s="1069"/>
      <c r="U50" s="1078"/>
      <c r="V50" s="1052"/>
    </row>
    <row r="51" spans="1:22">
      <c r="A51" s="1007"/>
      <c r="B51" s="1007" t="s">
        <v>189</v>
      </c>
      <c r="C51" s="1019"/>
      <c r="D51" s="1019"/>
      <c r="E51" s="1019"/>
      <c r="F51" s="1019"/>
      <c r="G51" s="1019"/>
      <c r="H51" s="1019"/>
      <c r="I51" s="1020"/>
      <c r="J51" s="1017"/>
      <c r="K51" s="1016"/>
      <c r="L51" s="1075"/>
      <c r="M51" s="1068"/>
      <c r="N51" s="1069"/>
      <c r="O51" s="1036"/>
      <c r="P51" s="1069"/>
      <c r="Q51" s="1069"/>
      <c r="R51" s="1069"/>
      <c r="S51" s="1069"/>
      <c r="T51" s="1069"/>
      <c r="U51" s="1078" t="s">
        <v>190</v>
      </c>
      <c r="V51" s="1052">
        <f>Q45</f>
        <v>660669</v>
      </c>
    </row>
    <row r="52" spans="1:22">
      <c r="A52" s="1007"/>
      <c r="B52" s="1021"/>
      <c r="C52" s="1022"/>
      <c r="D52" s="1022"/>
      <c r="E52" s="1022"/>
      <c r="F52" s="1022"/>
      <c r="G52" s="1022"/>
      <c r="H52" s="1022"/>
      <c r="I52" s="1023"/>
      <c r="J52" s="1017"/>
      <c r="K52" s="1016"/>
      <c r="L52" s="1076"/>
      <c r="M52" s="1045"/>
      <c r="N52" s="1048"/>
      <c r="O52" s="1036"/>
      <c r="P52" s="1048"/>
      <c r="Q52" s="1048"/>
      <c r="R52" s="1048"/>
      <c r="S52" s="1069"/>
      <c r="T52" s="1069"/>
      <c r="U52" s="1078"/>
      <c r="V52" s="1052"/>
    </row>
    <row r="53" spans="1:22">
      <c r="A53" s="1007"/>
      <c r="B53" s="1021"/>
      <c r="C53" s="1022"/>
      <c r="D53" s="1022"/>
      <c r="E53" s="1022"/>
      <c r="F53" s="1022"/>
      <c r="G53" s="1022"/>
      <c r="H53" s="1022"/>
      <c r="I53" s="1023"/>
      <c r="J53" s="1016"/>
      <c r="K53" s="1016"/>
      <c r="L53" s="1082">
        <v>2124664</v>
      </c>
      <c r="M53" s="1045" t="s">
        <v>180</v>
      </c>
      <c r="N53" s="1069">
        <f>SUM(P53:T56)</f>
        <v>1100740</v>
      </c>
      <c r="O53" s="1036" t="s">
        <v>144</v>
      </c>
      <c r="P53" s="1048">
        <v>550370</v>
      </c>
      <c r="Q53" s="1048">
        <v>550370</v>
      </c>
      <c r="R53" s="1048"/>
      <c r="S53" s="1069"/>
      <c r="T53" s="1069"/>
      <c r="U53" s="1078" t="s">
        <v>379</v>
      </c>
      <c r="V53" s="1060">
        <f>R45</f>
        <v>0</v>
      </c>
    </row>
    <row r="54" spans="1:22">
      <c r="A54" s="1007"/>
      <c r="B54" s="1021"/>
      <c r="C54" s="1022"/>
      <c r="D54" s="1022"/>
      <c r="E54" s="1022"/>
      <c r="F54" s="1022"/>
      <c r="G54" s="1022"/>
      <c r="H54" s="1022"/>
      <c r="I54" s="1023"/>
      <c r="J54" s="1016"/>
      <c r="K54" s="1016"/>
      <c r="L54" s="1083"/>
      <c r="M54" s="1046"/>
      <c r="N54" s="1069"/>
      <c r="O54" s="1036"/>
      <c r="P54" s="1049"/>
      <c r="Q54" s="1049"/>
      <c r="R54" s="1049"/>
      <c r="S54" s="1069"/>
      <c r="T54" s="1069"/>
      <c r="U54" s="1078"/>
      <c r="V54" s="1060"/>
    </row>
    <row r="55" spans="1:22">
      <c r="A55" s="1007"/>
      <c r="B55" s="1021"/>
      <c r="C55" s="1022"/>
      <c r="D55" s="1022"/>
      <c r="E55" s="1022"/>
      <c r="F55" s="1022"/>
      <c r="G55" s="1022"/>
      <c r="H55" s="1022"/>
      <c r="I55" s="1023"/>
      <c r="J55" s="1016"/>
      <c r="K55" s="1016"/>
      <c r="L55" s="1083"/>
      <c r="M55" s="1046"/>
      <c r="N55" s="1069"/>
      <c r="O55" s="1036"/>
      <c r="P55" s="1049"/>
      <c r="Q55" s="1049"/>
      <c r="R55" s="1049"/>
      <c r="S55" s="1069"/>
      <c r="T55" s="1069"/>
      <c r="U55" s="1078"/>
      <c r="V55" s="1060">
        <f>S45</f>
        <v>0</v>
      </c>
    </row>
    <row r="56" spans="1:22">
      <c r="A56" s="1007"/>
      <c r="B56" s="1024"/>
      <c r="C56" s="1025"/>
      <c r="D56" s="1025"/>
      <c r="E56" s="1025"/>
      <c r="F56" s="1025"/>
      <c r="G56" s="1025"/>
      <c r="H56" s="1025"/>
      <c r="I56" s="1026"/>
      <c r="J56" s="1016"/>
      <c r="K56" s="1016"/>
      <c r="L56" s="1083"/>
      <c r="M56" s="1085"/>
      <c r="N56" s="1048"/>
      <c r="O56" s="1036"/>
      <c r="P56" s="1086"/>
      <c r="Q56" s="1086"/>
      <c r="R56" s="1086"/>
      <c r="S56" s="1069"/>
      <c r="T56" s="1069"/>
      <c r="U56" s="1078"/>
      <c r="V56" s="1060"/>
    </row>
    <row r="57" spans="1:22">
      <c r="A57" s="1007"/>
      <c r="B57" s="1053" t="s">
        <v>191</v>
      </c>
      <c r="C57" s="1054"/>
      <c r="D57" s="1054"/>
      <c r="E57" s="1054"/>
      <c r="F57" s="1054"/>
      <c r="G57" s="1054"/>
      <c r="H57" s="1054"/>
      <c r="I57" s="1055"/>
      <c r="J57" s="1016"/>
      <c r="K57" s="1016"/>
      <c r="L57" s="1083"/>
      <c r="M57" s="1045" t="s">
        <v>192</v>
      </c>
      <c r="N57" s="1069">
        <f>SUM(P57:T60)</f>
        <v>58288</v>
      </c>
      <c r="O57" s="1036" t="s">
        <v>144</v>
      </c>
      <c r="P57" s="1048">
        <v>29144</v>
      </c>
      <c r="Q57" s="1048">
        <v>29144</v>
      </c>
      <c r="R57" s="1048"/>
      <c r="S57" s="1048"/>
      <c r="T57" s="1048"/>
      <c r="U57" s="1078"/>
      <c r="V57" s="1052"/>
    </row>
    <row r="58" spans="1:22">
      <c r="A58" s="1007"/>
      <c r="B58" s="1053"/>
      <c r="C58" s="1054"/>
      <c r="D58" s="1054"/>
      <c r="E58" s="1054"/>
      <c r="F58" s="1054"/>
      <c r="G58" s="1054"/>
      <c r="H58" s="1054"/>
      <c r="I58" s="1055"/>
      <c r="J58" s="1016"/>
      <c r="K58" s="1016"/>
      <c r="L58" s="1083"/>
      <c r="M58" s="1046"/>
      <c r="N58" s="1069"/>
      <c r="O58" s="1036"/>
      <c r="P58" s="1049"/>
      <c r="Q58" s="1049"/>
      <c r="R58" s="1049"/>
      <c r="S58" s="1049"/>
      <c r="T58" s="1049"/>
      <c r="U58" s="1078"/>
      <c r="V58" s="1052"/>
    </row>
    <row r="59" spans="1:22">
      <c r="A59" s="1007"/>
      <c r="B59" s="1053"/>
      <c r="C59" s="1054"/>
      <c r="D59" s="1054"/>
      <c r="E59" s="1054"/>
      <c r="F59" s="1054"/>
      <c r="G59" s="1054"/>
      <c r="H59" s="1054"/>
      <c r="I59" s="1055"/>
      <c r="J59" s="1016"/>
      <c r="K59" s="1016"/>
      <c r="L59" s="1083"/>
      <c r="M59" s="1046"/>
      <c r="N59" s="1069"/>
      <c r="O59" s="1036"/>
      <c r="P59" s="1049"/>
      <c r="Q59" s="1049"/>
      <c r="R59" s="1049"/>
      <c r="S59" s="1049"/>
      <c r="T59" s="1049"/>
      <c r="U59" s="1078"/>
      <c r="V59" s="1052"/>
    </row>
    <row r="60" spans="1:22" ht="13.5" thickBot="1">
      <c r="A60" s="1008"/>
      <c r="B60" s="1056"/>
      <c r="C60" s="1057"/>
      <c r="D60" s="1057"/>
      <c r="E60" s="1057"/>
      <c r="F60" s="1057"/>
      <c r="G60" s="1057"/>
      <c r="H60" s="1057"/>
      <c r="I60" s="1058"/>
      <c r="J60" s="1018"/>
      <c r="K60" s="1018"/>
      <c r="L60" s="1084"/>
      <c r="M60" s="1047"/>
      <c r="N60" s="1070"/>
      <c r="O60" s="1051"/>
      <c r="P60" s="1050"/>
      <c r="Q60" s="1050"/>
      <c r="R60" s="1050"/>
      <c r="S60" s="1050"/>
      <c r="T60" s="1050"/>
      <c r="U60" s="1087"/>
      <c r="V60" s="1088"/>
    </row>
    <row r="61" spans="1:22" ht="14.25" thickTop="1" thickBot="1">
      <c r="A61" s="292"/>
      <c r="B61" s="293"/>
      <c r="C61" s="293"/>
      <c r="D61" s="293"/>
      <c r="E61" s="293"/>
      <c r="F61" s="293"/>
      <c r="G61" s="293"/>
      <c r="H61" s="293"/>
      <c r="I61" s="293"/>
      <c r="J61" s="296"/>
      <c r="K61" s="296"/>
      <c r="L61" s="300"/>
      <c r="M61" s="301"/>
      <c r="N61" s="298"/>
      <c r="O61" s="296"/>
      <c r="P61" s="298"/>
      <c r="Q61" s="298"/>
      <c r="R61" s="298"/>
      <c r="S61" s="298"/>
      <c r="T61" s="298"/>
      <c r="U61" s="302"/>
      <c r="V61" s="303"/>
    </row>
    <row r="62" spans="1:22" ht="13.5" thickTop="1">
      <c r="A62" s="1005">
        <v>4</v>
      </c>
      <c r="B62" s="1009" t="s">
        <v>133</v>
      </c>
      <c r="C62" s="1010"/>
      <c r="D62" s="1010">
        <v>854</v>
      </c>
      <c r="E62" s="1010"/>
      <c r="F62" s="1013" t="s">
        <v>193</v>
      </c>
      <c r="G62" s="1013"/>
      <c r="H62" s="1013"/>
      <c r="I62" s="1013"/>
      <c r="J62" s="1015">
        <v>2010</v>
      </c>
      <c r="K62" s="1015">
        <v>2012</v>
      </c>
      <c r="L62" s="1040">
        <f>SUM(N62,L68)</f>
        <v>851720</v>
      </c>
      <c r="M62" s="1042" t="s">
        <v>152</v>
      </c>
      <c r="N62" s="1027">
        <f>SUM(N66:N73)</f>
        <v>205558</v>
      </c>
      <c r="O62" s="1044" t="s">
        <v>144</v>
      </c>
      <c r="P62" s="1027">
        <f>SUM(P66:P73)</f>
        <v>205558</v>
      </c>
      <c r="Q62" s="1027">
        <f t="shared" ref="Q62:T62" si="3">SUM(Q66:Q73)</f>
        <v>0</v>
      </c>
      <c r="R62" s="1027">
        <f t="shared" si="3"/>
        <v>0</v>
      </c>
      <c r="S62" s="1027">
        <f t="shared" si="3"/>
        <v>0</v>
      </c>
      <c r="T62" s="1027">
        <f t="shared" si="3"/>
        <v>0</v>
      </c>
      <c r="U62" s="1029">
        <f>SUM(V66:V73)</f>
        <v>205558</v>
      </c>
      <c r="V62" s="1030"/>
    </row>
    <row r="63" spans="1:22">
      <c r="A63" s="1006"/>
      <c r="B63" s="1011"/>
      <c r="C63" s="1012"/>
      <c r="D63" s="1012"/>
      <c r="E63" s="1012"/>
      <c r="F63" s="1014"/>
      <c r="G63" s="1014"/>
      <c r="H63" s="1014"/>
      <c r="I63" s="1014"/>
      <c r="J63" s="1016"/>
      <c r="K63" s="1016"/>
      <c r="L63" s="1041"/>
      <c r="M63" s="1043"/>
      <c r="N63" s="1028"/>
      <c r="O63" s="1036"/>
      <c r="P63" s="1028"/>
      <c r="Q63" s="1028"/>
      <c r="R63" s="1028"/>
      <c r="S63" s="1028"/>
      <c r="T63" s="1028"/>
      <c r="U63" s="1031"/>
      <c r="V63" s="1032"/>
    </row>
    <row r="64" spans="1:22">
      <c r="A64" s="1006"/>
      <c r="B64" s="1035" t="s">
        <v>139</v>
      </c>
      <c r="C64" s="1036"/>
      <c r="D64" s="1036">
        <v>85495</v>
      </c>
      <c r="E64" s="1036"/>
      <c r="F64" s="1014" t="s">
        <v>167</v>
      </c>
      <c r="G64" s="1014"/>
      <c r="H64" s="1014"/>
      <c r="I64" s="1014"/>
      <c r="J64" s="1016"/>
      <c r="K64" s="1016"/>
      <c r="L64" s="1041"/>
      <c r="M64" s="1043"/>
      <c r="N64" s="1028"/>
      <c r="O64" s="1036"/>
      <c r="P64" s="1028"/>
      <c r="Q64" s="1028"/>
      <c r="R64" s="1028"/>
      <c r="S64" s="1028"/>
      <c r="T64" s="1028"/>
      <c r="U64" s="1031"/>
      <c r="V64" s="1032"/>
    </row>
    <row r="65" spans="1:22">
      <c r="A65" s="1006"/>
      <c r="B65" s="1037"/>
      <c r="C65" s="1038"/>
      <c r="D65" s="1038"/>
      <c r="E65" s="1038"/>
      <c r="F65" s="1039"/>
      <c r="G65" s="1039"/>
      <c r="H65" s="1039"/>
      <c r="I65" s="1039"/>
      <c r="J65" s="1016"/>
      <c r="K65" s="1016"/>
      <c r="L65" s="1041"/>
      <c r="M65" s="1043"/>
      <c r="N65" s="1028"/>
      <c r="O65" s="1036"/>
      <c r="P65" s="1028"/>
      <c r="Q65" s="1028"/>
      <c r="R65" s="1028"/>
      <c r="S65" s="1028"/>
      <c r="T65" s="1028"/>
      <c r="U65" s="1033"/>
      <c r="V65" s="1034"/>
    </row>
    <row r="66" spans="1:22" ht="13.5" thickBot="1">
      <c r="A66" s="1007"/>
      <c r="B66" s="1007" t="s">
        <v>194</v>
      </c>
      <c r="C66" s="1019"/>
      <c r="D66" s="1019"/>
      <c r="E66" s="1019"/>
      <c r="F66" s="1019"/>
      <c r="G66" s="1019"/>
      <c r="H66" s="1019"/>
      <c r="I66" s="1020"/>
      <c r="J66" s="1017"/>
      <c r="K66" s="1016"/>
      <c r="L66" s="1041"/>
      <c r="M66" s="1068" t="s">
        <v>180</v>
      </c>
      <c r="N66" s="1069">
        <f>SUM(P66:T69)</f>
        <v>177385</v>
      </c>
      <c r="O66" s="1036" t="s">
        <v>144</v>
      </c>
      <c r="P66" s="1069">
        <v>177385</v>
      </c>
      <c r="Q66" s="1069"/>
      <c r="R66" s="1069"/>
      <c r="S66" s="1069"/>
      <c r="T66" s="1050"/>
      <c r="U66" s="1063" t="s">
        <v>181</v>
      </c>
      <c r="V66" s="1065">
        <f>P62</f>
        <v>205558</v>
      </c>
    </row>
    <row r="67" spans="1:22" ht="14.25" thickTop="1" thickBot="1">
      <c r="A67" s="1007"/>
      <c r="B67" s="1021"/>
      <c r="C67" s="1022"/>
      <c r="D67" s="1022"/>
      <c r="E67" s="1022"/>
      <c r="F67" s="1022"/>
      <c r="G67" s="1022"/>
      <c r="H67" s="1022"/>
      <c r="I67" s="1023"/>
      <c r="J67" s="1017"/>
      <c r="K67" s="1016"/>
      <c r="L67" s="1041"/>
      <c r="M67" s="1068"/>
      <c r="N67" s="1036"/>
      <c r="O67" s="1036"/>
      <c r="P67" s="1069"/>
      <c r="Q67" s="1069"/>
      <c r="R67" s="1069"/>
      <c r="S67" s="1069"/>
      <c r="T67" s="1071"/>
      <c r="U67" s="1064"/>
      <c r="V67" s="1052"/>
    </row>
    <row r="68" spans="1:22" ht="14.25" thickTop="1" thickBot="1">
      <c r="A68" s="1007"/>
      <c r="B68" s="1021"/>
      <c r="C68" s="1022"/>
      <c r="D68" s="1022"/>
      <c r="E68" s="1022"/>
      <c r="F68" s="1022"/>
      <c r="G68" s="1022"/>
      <c r="H68" s="1022"/>
      <c r="I68" s="1023"/>
      <c r="J68" s="1017"/>
      <c r="K68" s="1016"/>
      <c r="L68" s="1066">
        <v>646162</v>
      </c>
      <c r="M68" s="1068"/>
      <c r="N68" s="1036"/>
      <c r="O68" s="1036"/>
      <c r="P68" s="1069"/>
      <c r="Q68" s="1069"/>
      <c r="R68" s="1069"/>
      <c r="S68" s="1069"/>
      <c r="T68" s="1071"/>
      <c r="U68" s="1064" t="s">
        <v>190</v>
      </c>
      <c r="V68" s="1052">
        <f>Q62</f>
        <v>0</v>
      </c>
    </row>
    <row r="69" spans="1:22" ht="13.5" thickTop="1">
      <c r="A69" s="1007"/>
      <c r="B69" s="1024"/>
      <c r="C69" s="1025"/>
      <c r="D69" s="1025"/>
      <c r="E69" s="1025"/>
      <c r="F69" s="1025"/>
      <c r="G69" s="1025"/>
      <c r="H69" s="1025"/>
      <c r="I69" s="1026"/>
      <c r="J69" s="1017"/>
      <c r="K69" s="1016"/>
      <c r="L69" s="1066"/>
      <c r="M69" s="1068"/>
      <c r="N69" s="1036"/>
      <c r="O69" s="1036"/>
      <c r="P69" s="1069"/>
      <c r="Q69" s="1069"/>
      <c r="R69" s="1069"/>
      <c r="S69" s="1069"/>
      <c r="T69" s="1073"/>
      <c r="U69" s="1064"/>
      <c r="V69" s="1052"/>
    </row>
    <row r="70" spans="1:22" ht="13.5" thickBot="1">
      <c r="A70" s="1007"/>
      <c r="B70" s="1053" t="s">
        <v>195</v>
      </c>
      <c r="C70" s="1054"/>
      <c r="D70" s="1054"/>
      <c r="E70" s="1054"/>
      <c r="F70" s="1054"/>
      <c r="G70" s="1054"/>
      <c r="H70" s="1054"/>
      <c r="I70" s="1055"/>
      <c r="J70" s="1016"/>
      <c r="K70" s="1016"/>
      <c r="L70" s="1066"/>
      <c r="M70" s="1045" t="s">
        <v>185</v>
      </c>
      <c r="N70" s="1069">
        <f>SUM(P70:T73)</f>
        <v>28173</v>
      </c>
      <c r="O70" s="1036" t="s">
        <v>144</v>
      </c>
      <c r="P70" s="1069">
        <v>28173</v>
      </c>
      <c r="Q70" s="1069"/>
      <c r="R70" s="1069"/>
      <c r="S70" s="1069"/>
      <c r="T70" s="1050"/>
      <c r="U70" s="1064"/>
      <c r="V70" s="1060">
        <f>R62</f>
        <v>0</v>
      </c>
    </row>
    <row r="71" spans="1:22" ht="14.25" thickTop="1" thickBot="1">
      <c r="A71" s="1007"/>
      <c r="B71" s="1053"/>
      <c r="C71" s="1054"/>
      <c r="D71" s="1054"/>
      <c r="E71" s="1054"/>
      <c r="F71" s="1054"/>
      <c r="G71" s="1054"/>
      <c r="H71" s="1054"/>
      <c r="I71" s="1055"/>
      <c r="J71" s="1016"/>
      <c r="K71" s="1016"/>
      <c r="L71" s="1066"/>
      <c r="M71" s="1046"/>
      <c r="N71" s="1036"/>
      <c r="O71" s="1036"/>
      <c r="P71" s="1069"/>
      <c r="Q71" s="1069"/>
      <c r="R71" s="1069"/>
      <c r="S71" s="1069"/>
      <c r="T71" s="1071"/>
      <c r="U71" s="1064"/>
      <c r="V71" s="1060"/>
    </row>
    <row r="72" spans="1:22" ht="14.25" thickTop="1" thickBot="1">
      <c r="A72" s="1007"/>
      <c r="B72" s="1053"/>
      <c r="C72" s="1054"/>
      <c r="D72" s="1054"/>
      <c r="E72" s="1054"/>
      <c r="F72" s="1054"/>
      <c r="G72" s="1054"/>
      <c r="H72" s="1054"/>
      <c r="I72" s="1055"/>
      <c r="J72" s="1016"/>
      <c r="K72" s="1016"/>
      <c r="L72" s="1066"/>
      <c r="M72" s="1046"/>
      <c r="N72" s="1036"/>
      <c r="O72" s="1036"/>
      <c r="P72" s="1069"/>
      <c r="Q72" s="1069"/>
      <c r="R72" s="1069"/>
      <c r="S72" s="1069"/>
      <c r="T72" s="1071"/>
      <c r="U72" s="1059"/>
      <c r="V72" s="1060">
        <f>S62</f>
        <v>0</v>
      </c>
    </row>
    <row r="73" spans="1:22" ht="14.25" thickTop="1" thickBot="1">
      <c r="A73" s="1008"/>
      <c r="B73" s="1056"/>
      <c r="C73" s="1057"/>
      <c r="D73" s="1057"/>
      <c r="E73" s="1057"/>
      <c r="F73" s="1057"/>
      <c r="G73" s="1057"/>
      <c r="H73" s="1057"/>
      <c r="I73" s="1058"/>
      <c r="J73" s="1018"/>
      <c r="K73" s="1018"/>
      <c r="L73" s="1067"/>
      <c r="M73" s="1047"/>
      <c r="N73" s="1051"/>
      <c r="O73" s="1051"/>
      <c r="P73" s="1070"/>
      <c r="Q73" s="1070"/>
      <c r="R73" s="1070"/>
      <c r="S73" s="1070"/>
      <c r="T73" s="1071"/>
      <c r="U73" s="1061"/>
      <c r="V73" s="1062"/>
    </row>
    <row r="74" spans="1:22" ht="14.25" thickTop="1" thickBot="1">
      <c r="A74" s="292"/>
      <c r="B74" s="293"/>
      <c r="C74" s="293"/>
      <c r="D74" s="293"/>
      <c r="E74" s="293"/>
      <c r="F74" s="293"/>
      <c r="G74" s="293"/>
      <c r="H74" s="293"/>
      <c r="I74" s="293"/>
      <c r="J74" s="296"/>
      <c r="K74" s="296"/>
      <c r="L74" s="300"/>
      <c r="M74" s="301"/>
      <c r="N74" s="298"/>
      <c r="O74" s="296"/>
      <c r="P74" s="298"/>
      <c r="Q74" s="298"/>
      <c r="R74" s="298"/>
      <c r="S74" s="298"/>
      <c r="T74" s="298"/>
      <c r="U74" s="302"/>
      <c r="V74" s="303"/>
    </row>
    <row r="75" spans="1:22" ht="13.5" thickTop="1">
      <c r="A75" s="1005">
        <v>5</v>
      </c>
      <c r="B75" s="1009" t="s">
        <v>133</v>
      </c>
      <c r="C75" s="1010"/>
      <c r="D75" s="1010">
        <v>801</v>
      </c>
      <c r="E75" s="1010"/>
      <c r="F75" s="1013" t="s">
        <v>178</v>
      </c>
      <c r="G75" s="1013"/>
      <c r="H75" s="1013"/>
      <c r="I75" s="1013"/>
      <c r="J75" s="1015">
        <v>2011</v>
      </c>
      <c r="K75" s="1015">
        <v>2013</v>
      </c>
      <c r="L75" s="1040">
        <f>SUM(N75,L81)</f>
        <v>582085</v>
      </c>
      <c r="M75" s="1042" t="s">
        <v>152</v>
      </c>
      <c r="N75" s="1027">
        <f>SUM(N79:N86)</f>
        <v>582085</v>
      </c>
      <c r="O75" s="1044" t="s">
        <v>144</v>
      </c>
      <c r="P75" s="1027">
        <f>SUM(P79:P86)</f>
        <v>498834</v>
      </c>
      <c r="Q75" s="1027">
        <f t="shared" ref="Q75:T75" si="4">SUM(Q79:Q86)</f>
        <v>83251</v>
      </c>
      <c r="R75" s="1027">
        <f t="shared" si="4"/>
        <v>0</v>
      </c>
      <c r="S75" s="1027">
        <f t="shared" si="4"/>
        <v>0</v>
      </c>
      <c r="T75" s="1027">
        <f t="shared" si="4"/>
        <v>0</v>
      </c>
      <c r="U75" s="1029">
        <f>SUM(V79:V86)</f>
        <v>582085</v>
      </c>
      <c r="V75" s="1030"/>
    </row>
    <row r="76" spans="1:22">
      <c r="A76" s="1006"/>
      <c r="B76" s="1011"/>
      <c r="C76" s="1012"/>
      <c r="D76" s="1012"/>
      <c r="E76" s="1012"/>
      <c r="F76" s="1014"/>
      <c r="G76" s="1014"/>
      <c r="H76" s="1014"/>
      <c r="I76" s="1014"/>
      <c r="J76" s="1016"/>
      <c r="K76" s="1016"/>
      <c r="L76" s="1041"/>
      <c r="M76" s="1043"/>
      <c r="N76" s="1028"/>
      <c r="O76" s="1036"/>
      <c r="P76" s="1028"/>
      <c r="Q76" s="1028"/>
      <c r="R76" s="1028"/>
      <c r="S76" s="1028"/>
      <c r="T76" s="1028"/>
      <c r="U76" s="1031"/>
      <c r="V76" s="1032"/>
    </row>
    <row r="77" spans="1:22">
      <c r="A77" s="1006"/>
      <c r="B77" s="1035" t="s">
        <v>139</v>
      </c>
      <c r="C77" s="1036"/>
      <c r="D77" s="1036">
        <v>80195</v>
      </c>
      <c r="E77" s="1036"/>
      <c r="F77" s="1014" t="s">
        <v>167</v>
      </c>
      <c r="G77" s="1014"/>
      <c r="H77" s="1014"/>
      <c r="I77" s="1014"/>
      <c r="J77" s="1016"/>
      <c r="K77" s="1016"/>
      <c r="L77" s="1041"/>
      <c r="M77" s="1043"/>
      <c r="N77" s="1028"/>
      <c r="O77" s="1036"/>
      <c r="P77" s="1028"/>
      <c r="Q77" s="1028"/>
      <c r="R77" s="1028"/>
      <c r="S77" s="1028"/>
      <c r="T77" s="1028"/>
      <c r="U77" s="1031"/>
      <c r="V77" s="1032"/>
    </row>
    <row r="78" spans="1:22">
      <c r="A78" s="1006"/>
      <c r="B78" s="1037"/>
      <c r="C78" s="1038"/>
      <c r="D78" s="1038"/>
      <c r="E78" s="1038"/>
      <c r="F78" s="1039"/>
      <c r="G78" s="1039"/>
      <c r="H78" s="1039"/>
      <c r="I78" s="1039"/>
      <c r="J78" s="1016"/>
      <c r="K78" s="1016"/>
      <c r="L78" s="1041"/>
      <c r="M78" s="1043"/>
      <c r="N78" s="1028"/>
      <c r="O78" s="1036"/>
      <c r="P78" s="1028"/>
      <c r="Q78" s="1028"/>
      <c r="R78" s="1028"/>
      <c r="S78" s="1028"/>
      <c r="T78" s="1028"/>
      <c r="U78" s="1033"/>
      <c r="V78" s="1034"/>
    </row>
    <row r="79" spans="1:22" ht="13.5" thickBot="1">
      <c r="A79" s="1007"/>
      <c r="B79" s="1007" t="s">
        <v>196</v>
      </c>
      <c r="C79" s="1019"/>
      <c r="D79" s="1019"/>
      <c r="E79" s="1019"/>
      <c r="F79" s="1019"/>
      <c r="G79" s="1019"/>
      <c r="H79" s="1019"/>
      <c r="I79" s="1020"/>
      <c r="J79" s="1017"/>
      <c r="K79" s="1016"/>
      <c r="L79" s="1041"/>
      <c r="M79" s="1068" t="s">
        <v>180</v>
      </c>
      <c r="N79" s="1069">
        <f>SUM(P79:T82)</f>
        <v>494771</v>
      </c>
      <c r="O79" s="1036" t="s">
        <v>144</v>
      </c>
      <c r="P79" s="1048">
        <v>424008</v>
      </c>
      <c r="Q79" s="1048">
        <v>70763</v>
      </c>
      <c r="R79" s="1069"/>
      <c r="S79" s="1069"/>
      <c r="T79" s="1050"/>
      <c r="U79" s="1063" t="s">
        <v>181</v>
      </c>
      <c r="V79" s="1065">
        <f>P75</f>
        <v>498834</v>
      </c>
    </row>
    <row r="80" spans="1:22" ht="14.25" thickTop="1" thickBot="1">
      <c r="A80" s="1007"/>
      <c r="B80" s="1021"/>
      <c r="C80" s="1022"/>
      <c r="D80" s="1022"/>
      <c r="E80" s="1022"/>
      <c r="F80" s="1022"/>
      <c r="G80" s="1022"/>
      <c r="H80" s="1022"/>
      <c r="I80" s="1023"/>
      <c r="J80" s="1017"/>
      <c r="K80" s="1016"/>
      <c r="L80" s="1041"/>
      <c r="M80" s="1068"/>
      <c r="N80" s="1036"/>
      <c r="O80" s="1036"/>
      <c r="P80" s="1049"/>
      <c r="Q80" s="1049"/>
      <c r="R80" s="1069"/>
      <c r="S80" s="1069"/>
      <c r="T80" s="1071"/>
      <c r="U80" s="1064"/>
      <c r="V80" s="1052"/>
    </row>
    <row r="81" spans="1:22" ht="14.25" thickTop="1" thickBot="1">
      <c r="A81" s="1007"/>
      <c r="B81" s="1021"/>
      <c r="C81" s="1022"/>
      <c r="D81" s="1022"/>
      <c r="E81" s="1022"/>
      <c r="F81" s="1022"/>
      <c r="G81" s="1022"/>
      <c r="H81" s="1022"/>
      <c r="I81" s="1023"/>
      <c r="J81" s="1017"/>
      <c r="K81" s="1016"/>
      <c r="L81" s="1066">
        <v>0</v>
      </c>
      <c r="M81" s="1068"/>
      <c r="N81" s="1036"/>
      <c r="O81" s="1036"/>
      <c r="P81" s="1049"/>
      <c r="Q81" s="1049"/>
      <c r="R81" s="1069"/>
      <c r="S81" s="1069"/>
      <c r="T81" s="1071"/>
      <c r="U81" s="1064" t="s">
        <v>190</v>
      </c>
      <c r="V81" s="1052">
        <f>Q75</f>
        <v>83251</v>
      </c>
    </row>
    <row r="82" spans="1:22" ht="13.5" thickTop="1">
      <c r="A82" s="1007"/>
      <c r="B82" s="1024"/>
      <c r="C82" s="1025"/>
      <c r="D82" s="1025"/>
      <c r="E82" s="1025"/>
      <c r="F82" s="1025"/>
      <c r="G82" s="1025"/>
      <c r="H82" s="1025"/>
      <c r="I82" s="1026"/>
      <c r="J82" s="1017"/>
      <c r="K82" s="1016"/>
      <c r="L82" s="1066"/>
      <c r="M82" s="1068"/>
      <c r="N82" s="1036"/>
      <c r="O82" s="1036"/>
      <c r="P82" s="1086"/>
      <c r="Q82" s="1086"/>
      <c r="R82" s="1069"/>
      <c r="S82" s="1069"/>
      <c r="T82" s="1073"/>
      <c r="U82" s="1064"/>
      <c r="V82" s="1052"/>
    </row>
    <row r="83" spans="1:22" ht="13.5" thickBot="1">
      <c r="A83" s="1007"/>
      <c r="B83" s="1053" t="s">
        <v>197</v>
      </c>
      <c r="C83" s="1054"/>
      <c r="D83" s="1054"/>
      <c r="E83" s="1054"/>
      <c r="F83" s="1054"/>
      <c r="G83" s="1054"/>
      <c r="H83" s="1054"/>
      <c r="I83" s="1055"/>
      <c r="J83" s="1016"/>
      <c r="K83" s="1016"/>
      <c r="L83" s="1066"/>
      <c r="M83" s="1045" t="s">
        <v>198</v>
      </c>
      <c r="N83" s="1069">
        <f>SUM(P83:T86)</f>
        <v>87314</v>
      </c>
      <c r="O83" s="1036" t="s">
        <v>144</v>
      </c>
      <c r="P83" s="1048">
        <v>74826</v>
      </c>
      <c r="Q83" s="1048">
        <v>12488</v>
      </c>
      <c r="R83" s="1069"/>
      <c r="S83" s="1069"/>
      <c r="T83" s="1050"/>
      <c r="U83" s="1064"/>
      <c r="V83" s="1060"/>
    </row>
    <row r="84" spans="1:22" ht="14.25" thickTop="1" thickBot="1">
      <c r="A84" s="1007"/>
      <c r="B84" s="1053"/>
      <c r="C84" s="1054"/>
      <c r="D84" s="1054"/>
      <c r="E84" s="1054"/>
      <c r="F84" s="1054"/>
      <c r="G84" s="1054"/>
      <c r="H84" s="1054"/>
      <c r="I84" s="1055"/>
      <c r="J84" s="1016"/>
      <c r="K84" s="1016"/>
      <c r="L84" s="1066"/>
      <c r="M84" s="1046"/>
      <c r="N84" s="1036"/>
      <c r="O84" s="1036"/>
      <c r="P84" s="1049"/>
      <c r="Q84" s="1049"/>
      <c r="R84" s="1069"/>
      <c r="S84" s="1069"/>
      <c r="T84" s="1071"/>
      <c r="U84" s="1064"/>
      <c r="V84" s="1060"/>
    </row>
    <row r="85" spans="1:22" ht="14.25" thickTop="1" thickBot="1">
      <c r="A85" s="1007"/>
      <c r="B85" s="1053"/>
      <c r="C85" s="1054"/>
      <c r="D85" s="1054"/>
      <c r="E85" s="1054"/>
      <c r="F85" s="1054"/>
      <c r="G85" s="1054"/>
      <c r="H85" s="1054"/>
      <c r="I85" s="1055"/>
      <c r="J85" s="1016"/>
      <c r="K85" s="1016"/>
      <c r="L85" s="1066"/>
      <c r="M85" s="1046"/>
      <c r="N85" s="1036"/>
      <c r="O85" s="1036"/>
      <c r="P85" s="1049"/>
      <c r="Q85" s="1049"/>
      <c r="R85" s="1069"/>
      <c r="S85" s="1069"/>
      <c r="T85" s="1071"/>
      <c r="U85" s="1059"/>
      <c r="V85" s="1060"/>
    </row>
    <row r="86" spans="1:22" ht="14.25" thickTop="1" thickBot="1">
      <c r="A86" s="1008"/>
      <c r="B86" s="1056"/>
      <c r="C86" s="1057"/>
      <c r="D86" s="1057"/>
      <c r="E86" s="1057"/>
      <c r="F86" s="1057"/>
      <c r="G86" s="1057"/>
      <c r="H86" s="1057"/>
      <c r="I86" s="1058"/>
      <c r="J86" s="1018"/>
      <c r="K86" s="1018"/>
      <c r="L86" s="1067"/>
      <c r="M86" s="1047"/>
      <c r="N86" s="1051"/>
      <c r="O86" s="1051"/>
      <c r="P86" s="1050"/>
      <c r="Q86" s="1050"/>
      <c r="R86" s="1070"/>
      <c r="S86" s="1070"/>
      <c r="T86" s="1071"/>
      <c r="U86" s="1061"/>
      <c r="V86" s="1062"/>
    </row>
    <row r="87" spans="1:22" ht="14.25" thickTop="1" thickBot="1">
      <c r="A87" s="292"/>
      <c r="B87" s="293"/>
      <c r="C87" s="293"/>
      <c r="D87" s="293"/>
      <c r="E87" s="293"/>
      <c r="F87" s="293"/>
      <c r="G87" s="293"/>
      <c r="H87" s="293"/>
      <c r="I87" s="293"/>
      <c r="J87" s="296"/>
      <c r="K87" s="296"/>
      <c r="L87" s="300"/>
      <c r="M87" s="301"/>
      <c r="N87" s="296"/>
      <c r="O87" s="296"/>
      <c r="P87" s="298"/>
      <c r="Q87" s="298"/>
      <c r="R87" s="298"/>
      <c r="S87" s="298"/>
      <c r="T87" s="298"/>
      <c r="U87" s="298"/>
      <c r="V87" s="299"/>
    </row>
    <row r="88" spans="1:22" ht="13.5" thickTop="1">
      <c r="A88" s="1005">
        <v>6</v>
      </c>
      <c r="B88" s="1009" t="s">
        <v>133</v>
      </c>
      <c r="C88" s="1010"/>
      <c r="D88" s="1010">
        <v>801</v>
      </c>
      <c r="E88" s="1010"/>
      <c r="F88" s="1013" t="s">
        <v>178</v>
      </c>
      <c r="G88" s="1013"/>
      <c r="H88" s="1013"/>
      <c r="I88" s="1013"/>
      <c r="J88" s="1015">
        <v>2012</v>
      </c>
      <c r="K88" s="1015">
        <v>2013</v>
      </c>
      <c r="L88" s="1040">
        <f>SUM(N88,L94)</f>
        <v>679596</v>
      </c>
      <c r="M88" s="1042" t="s">
        <v>152</v>
      </c>
      <c r="N88" s="1027">
        <f>SUM(N92:N99)</f>
        <v>679596</v>
      </c>
      <c r="O88" s="1044" t="s">
        <v>144</v>
      </c>
      <c r="P88" s="1027">
        <f>SUM(P92:P99)</f>
        <v>453064</v>
      </c>
      <c r="Q88" s="1027">
        <f t="shared" ref="Q88:T88" si="5">SUM(Q92:Q99)</f>
        <v>226532</v>
      </c>
      <c r="R88" s="1027">
        <f t="shared" si="5"/>
        <v>0</v>
      </c>
      <c r="S88" s="1027">
        <f t="shared" si="5"/>
        <v>0</v>
      </c>
      <c r="T88" s="1027">
        <f t="shared" si="5"/>
        <v>0</v>
      </c>
      <c r="U88" s="1029">
        <f>SUM(V92:V99)</f>
        <v>679596</v>
      </c>
      <c r="V88" s="1030"/>
    </row>
    <row r="89" spans="1:22">
      <c r="A89" s="1006"/>
      <c r="B89" s="1011"/>
      <c r="C89" s="1012"/>
      <c r="D89" s="1012"/>
      <c r="E89" s="1012"/>
      <c r="F89" s="1014"/>
      <c r="G89" s="1014"/>
      <c r="H89" s="1014"/>
      <c r="I89" s="1014"/>
      <c r="J89" s="1016"/>
      <c r="K89" s="1016"/>
      <c r="L89" s="1041"/>
      <c r="M89" s="1043"/>
      <c r="N89" s="1028"/>
      <c r="O89" s="1036"/>
      <c r="P89" s="1028"/>
      <c r="Q89" s="1028"/>
      <c r="R89" s="1028"/>
      <c r="S89" s="1028"/>
      <c r="T89" s="1028"/>
      <c r="U89" s="1031"/>
      <c r="V89" s="1032"/>
    </row>
    <row r="90" spans="1:22">
      <c r="A90" s="1006"/>
      <c r="B90" s="1035" t="s">
        <v>139</v>
      </c>
      <c r="C90" s="1036"/>
      <c r="D90" s="1036">
        <v>80195</v>
      </c>
      <c r="E90" s="1036"/>
      <c r="F90" s="1014" t="s">
        <v>167</v>
      </c>
      <c r="G90" s="1014"/>
      <c r="H90" s="1014"/>
      <c r="I90" s="1014"/>
      <c r="J90" s="1016"/>
      <c r="K90" s="1016"/>
      <c r="L90" s="1041"/>
      <c r="M90" s="1043"/>
      <c r="N90" s="1028"/>
      <c r="O90" s="1036"/>
      <c r="P90" s="1028"/>
      <c r="Q90" s="1028"/>
      <c r="R90" s="1028"/>
      <c r="S90" s="1028"/>
      <c r="T90" s="1028"/>
      <c r="U90" s="1031"/>
      <c r="V90" s="1032"/>
    </row>
    <row r="91" spans="1:22">
      <c r="A91" s="1006"/>
      <c r="B91" s="1037"/>
      <c r="C91" s="1038"/>
      <c r="D91" s="1038"/>
      <c r="E91" s="1038"/>
      <c r="F91" s="1039"/>
      <c r="G91" s="1039"/>
      <c r="H91" s="1039"/>
      <c r="I91" s="1039"/>
      <c r="J91" s="1016"/>
      <c r="K91" s="1016"/>
      <c r="L91" s="1041"/>
      <c r="M91" s="1043"/>
      <c r="N91" s="1028"/>
      <c r="O91" s="1036"/>
      <c r="P91" s="1028"/>
      <c r="Q91" s="1028"/>
      <c r="R91" s="1028"/>
      <c r="S91" s="1028"/>
      <c r="T91" s="1028"/>
      <c r="U91" s="1033"/>
      <c r="V91" s="1034"/>
    </row>
    <row r="92" spans="1:22" ht="13.5" thickBot="1">
      <c r="A92" s="1007"/>
      <c r="B92" s="1007" t="s">
        <v>199</v>
      </c>
      <c r="C92" s="1019"/>
      <c r="D92" s="1019"/>
      <c r="E92" s="1019"/>
      <c r="F92" s="1019"/>
      <c r="G92" s="1019"/>
      <c r="H92" s="1019"/>
      <c r="I92" s="1020"/>
      <c r="J92" s="1017"/>
      <c r="K92" s="1016"/>
      <c r="L92" s="1041"/>
      <c r="M92" s="1068" t="s">
        <v>180</v>
      </c>
      <c r="N92" s="1069">
        <f>SUM(P92:T95)</f>
        <v>584520</v>
      </c>
      <c r="O92" s="1036" t="s">
        <v>144</v>
      </c>
      <c r="P92" s="1048">
        <v>389680</v>
      </c>
      <c r="Q92" s="1048">
        <v>194840</v>
      </c>
      <c r="R92" s="1069"/>
      <c r="S92" s="1069"/>
      <c r="T92" s="1050"/>
      <c r="U92" s="1063" t="s">
        <v>181</v>
      </c>
      <c r="V92" s="1065">
        <f>P88</f>
        <v>453064</v>
      </c>
    </row>
    <row r="93" spans="1:22" ht="14.25" thickTop="1" thickBot="1">
      <c r="A93" s="1007"/>
      <c r="B93" s="1021"/>
      <c r="C93" s="1022"/>
      <c r="D93" s="1022"/>
      <c r="E93" s="1022"/>
      <c r="F93" s="1022"/>
      <c r="G93" s="1022"/>
      <c r="H93" s="1022"/>
      <c r="I93" s="1023"/>
      <c r="J93" s="1017"/>
      <c r="K93" s="1016"/>
      <c r="L93" s="1041"/>
      <c r="M93" s="1068"/>
      <c r="N93" s="1036"/>
      <c r="O93" s="1036"/>
      <c r="P93" s="1049"/>
      <c r="Q93" s="1049"/>
      <c r="R93" s="1069"/>
      <c r="S93" s="1069"/>
      <c r="T93" s="1071"/>
      <c r="U93" s="1064"/>
      <c r="V93" s="1052"/>
    </row>
    <row r="94" spans="1:22" ht="14.25" thickTop="1" thickBot="1">
      <c r="A94" s="1007"/>
      <c r="B94" s="1021"/>
      <c r="C94" s="1022"/>
      <c r="D94" s="1022"/>
      <c r="E94" s="1022"/>
      <c r="F94" s="1022"/>
      <c r="G94" s="1022"/>
      <c r="H94" s="1022"/>
      <c r="I94" s="1023"/>
      <c r="J94" s="1017"/>
      <c r="K94" s="1016"/>
      <c r="L94" s="1066">
        <v>0</v>
      </c>
      <c r="M94" s="1068"/>
      <c r="N94" s="1036"/>
      <c r="O94" s="1036"/>
      <c r="P94" s="1049"/>
      <c r="Q94" s="1049"/>
      <c r="R94" s="1069"/>
      <c r="S94" s="1069"/>
      <c r="T94" s="1071"/>
      <c r="U94" s="1064" t="s">
        <v>190</v>
      </c>
      <c r="V94" s="1052">
        <f>Q88</f>
        <v>226532</v>
      </c>
    </row>
    <row r="95" spans="1:22" ht="13.5" thickTop="1">
      <c r="A95" s="1007"/>
      <c r="B95" s="1024"/>
      <c r="C95" s="1025"/>
      <c r="D95" s="1025"/>
      <c r="E95" s="1025"/>
      <c r="F95" s="1025"/>
      <c r="G95" s="1025"/>
      <c r="H95" s="1025"/>
      <c r="I95" s="1026"/>
      <c r="J95" s="1017"/>
      <c r="K95" s="1016"/>
      <c r="L95" s="1066"/>
      <c r="M95" s="1068"/>
      <c r="N95" s="1036"/>
      <c r="O95" s="1036"/>
      <c r="P95" s="1086"/>
      <c r="Q95" s="1086"/>
      <c r="R95" s="1069"/>
      <c r="S95" s="1069"/>
      <c r="T95" s="1073"/>
      <c r="U95" s="1064"/>
      <c r="V95" s="1052"/>
    </row>
    <row r="96" spans="1:22" ht="13.5" thickBot="1">
      <c r="A96" s="1007"/>
      <c r="B96" s="1053" t="s">
        <v>200</v>
      </c>
      <c r="C96" s="1054"/>
      <c r="D96" s="1054"/>
      <c r="E96" s="1054"/>
      <c r="F96" s="1054"/>
      <c r="G96" s="1054"/>
      <c r="H96" s="1054"/>
      <c r="I96" s="1055"/>
      <c r="J96" s="1016"/>
      <c r="K96" s="1016"/>
      <c r="L96" s="1066"/>
      <c r="M96" s="1045" t="s">
        <v>198</v>
      </c>
      <c r="N96" s="1069">
        <f>SUM(P96:T99)</f>
        <v>95076</v>
      </c>
      <c r="O96" s="1036" t="s">
        <v>144</v>
      </c>
      <c r="P96" s="1069">
        <v>63384</v>
      </c>
      <c r="Q96" s="1069">
        <v>31692</v>
      </c>
      <c r="R96" s="1069"/>
      <c r="S96" s="1069"/>
      <c r="T96" s="1050"/>
      <c r="U96" s="1064"/>
      <c r="V96" s="1060"/>
    </row>
    <row r="97" spans="1:22" ht="14.25" thickTop="1" thickBot="1">
      <c r="A97" s="1007"/>
      <c r="B97" s="1053"/>
      <c r="C97" s="1054"/>
      <c r="D97" s="1054"/>
      <c r="E97" s="1054"/>
      <c r="F97" s="1054"/>
      <c r="G97" s="1054"/>
      <c r="H97" s="1054"/>
      <c r="I97" s="1055"/>
      <c r="J97" s="1016"/>
      <c r="K97" s="1016"/>
      <c r="L97" s="1066"/>
      <c r="M97" s="1046"/>
      <c r="N97" s="1036"/>
      <c r="O97" s="1036"/>
      <c r="P97" s="1069"/>
      <c r="Q97" s="1069"/>
      <c r="R97" s="1069"/>
      <c r="S97" s="1069"/>
      <c r="T97" s="1071"/>
      <c r="U97" s="1064"/>
      <c r="V97" s="1060"/>
    </row>
    <row r="98" spans="1:22" ht="14.25" thickTop="1" thickBot="1">
      <c r="A98" s="1007"/>
      <c r="B98" s="1053"/>
      <c r="C98" s="1054"/>
      <c r="D98" s="1054"/>
      <c r="E98" s="1054"/>
      <c r="F98" s="1054"/>
      <c r="G98" s="1054"/>
      <c r="H98" s="1054"/>
      <c r="I98" s="1055"/>
      <c r="J98" s="1016"/>
      <c r="K98" s="1016"/>
      <c r="L98" s="1066"/>
      <c r="M98" s="1046"/>
      <c r="N98" s="1036"/>
      <c r="O98" s="1036"/>
      <c r="P98" s="1069"/>
      <c r="Q98" s="1069"/>
      <c r="R98" s="1069"/>
      <c r="S98" s="1069"/>
      <c r="T98" s="1071"/>
      <c r="U98" s="1059"/>
      <c r="V98" s="1060"/>
    </row>
    <row r="99" spans="1:22" ht="14.25" thickTop="1" thickBot="1">
      <c r="A99" s="1008"/>
      <c r="B99" s="1056"/>
      <c r="C99" s="1057"/>
      <c r="D99" s="1057"/>
      <c r="E99" s="1057"/>
      <c r="F99" s="1057"/>
      <c r="G99" s="1057"/>
      <c r="H99" s="1057"/>
      <c r="I99" s="1058"/>
      <c r="J99" s="1018"/>
      <c r="K99" s="1018"/>
      <c r="L99" s="1067"/>
      <c r="M99" s="1047"/>
      <c r="N99" s="1051"/>
      <c r="O99" s="1051"/>
      <c r="P99" s="1070"/>
      <c r="Q99" s="1070"/>
      <c r="R99" s="1070"/>
      <c r="S99" s="1070"/>
      <c r="T99" s="1071"/>
      <c r="U99" s="1061"/>
      <c r="V99" s="1062"/>
    </row>
    <row r="100" spans="1:22" ht="14.25" thickTop="1" thickBot="1">
      <c r="A100" s="292"/>
      <c r="B100" s="293"/>
      <c r="C100" s="293"/>
      <c r="D100" s="293"/>
      <c r="E100" s="293"/>
      <c r="F100" s="293"/>
      <c r="G100" s="293"/>
      <c r="H100" s="293"/>
      <c r="I100" s="293"/>
      <c r="J100" s="296"/>
      <c r="K100" s="296"/>
      <c r="L100" s="300"/>
      <c r="M100" s="301"/>
      <c r="N100" s="296"/>
      <c r="O100" s="296"/>
      <c r="P100" s="298"/>
      <c r="Q100" s="298"/>
      <c r="R100" s="298"/>
      <c r="S100" s="298"/>
      <c r="T100" s="298"/>
      <c r="U100" s="298"/>
      <c r="V100" s="299"/>
    </row>
    <row r="101" spans="1:22" ht="13.5" thickTop="1">
      <c r="A101" s="1005">
        <v>7</v>
      </c>
      <c r="B101" s="1009" t="s">
        <v>133</v>
      </c>
      <c r="C101" s="1010"/>
      <c r="D101" s="1089" t="s">
        <v>201</v>
      </c>
      <c r="E101" s="1090"/>
      <c r="F101" s="1090"/>
      <c r="G101" s="1090"/>
      <c r="H101" s="1090"/>
      <c r="I101" s="1091"/>
      <c r="J101" s="1015">
        <v>2012</v>
      </c>
      <c r="K101" s="1015">
        <v>2013</v>
      </c>
      <c r="L101" s="1040">
        <f>SUM(N101,L107)</f>
        <v>5243853</v>
      </c>
      <c r="M101" s="1042" t="s">
        <v>152</v>
      </c>
      <c r="N101" s="1027">
        <f>SUM(N105:N112)</f>
        <v>5243853</v>
      </c>
      <c r="O101" s="1044" t="s">
        <v>144</v>
      </c>
      <c r="P101" s="1027">
        <f>SUM(P105:P112)</f>
        <v>2518983</v>
      </c>
      <c r="Q101" s="1027">
        <f t="shared" ref="Q101:T101" si="6">SUM(Q105:Q112)</f>
        <v>2724870</v>
      </c>
      <c r="R101" s="1027">
        <f t="shared" si="6"/>
        <v>0</v>
      </c>
      <c r="S101" s="1027">
        <f t="shared" si="6"/>
        <v>0</v>
      </c>
      <c r="T101" s="1027">
        <f t="shared" si="6"/>
        <v>0</v>
      </c>
      <c r="U101" s="1029">
        <f>SUM(V105:V112)</f>
        <v>5243853</v>
      </c>
      <c r="V101" s="1030"/>
    </row>
    <row r="102" spans="1:22">
      <c r="A102" s="1006"/>
      <c r="B102" s="1011"/>
      <c r="C102" s="1012"/>
      <c r="D102" s="1092"/>
      <c r="E102" s="1093"/>
      <c r="F102" s="1093"/>
      <c r="G102" s="1093"/>
      <c r="H102" s="1093"/>
      <c r="I102" s="1017"/>
      <c r="J102" s="1016"/>
      <c r="K102" s="1016"/>
      <c r="L102" s="1041"/>
      <c r="M102" s="1043"/>
      <c r="N102" s="1028"/>
      <c r="O102" s="1036"/>
      <c r="P102" s="1028"/>
      <c r="Q102" s="1028"/>
      <c r="R102" s="1028"/>
      <c r="S102" s="1028"/>
      <c r="T102" s="1028"/>
      <c r="U102" s="1031"/>
      <c r="V102" s="1032"/>
    </row>
    <row r="103" spans="1:22">
      <c r="A103" s="1006"/>
      <c r="B103" s="1035" t="s">
        <v>139</v>
      </c>
      <c r="C103" s="1036"/>
      <c r="D103" s="1092"/>
      <c r="E103" s="1093"/>
      <c r="F103" s="1093"/>
      <c r="G103" s="1093"/>
      <c r="H103" s="1093"/>
      <c r="I103" s="1017"/>
      <c r="J103" s="1016"/>
      <c r="K103" s="1016"/>
      <c r="L103" s="1041"/>
      <c r="M103" s="1043"/>
      <c r="N103" s="1028"/>
      <c r="O103" s="1036"/>
      <c r="P103" s="1028"/>
      <c r="Q103" s="1028"/>
      <c r="R103" s="1028"/>
      <c r="S103" s="1028"/>
      <c r="T103" s="1028"/>
      <c r="U103" s="1031"/>
      <c r="V103" s="1032"/>
    </row>
    <row r="104" spans="1:22">
      <c r="A104" s="1006"/>
      <c r="B104" s="1037"/>
      <c r="C104" s="1038"/>
      <c r="D104" s="1094"/>
      <c r="E104" s="1095"/>
      <c r="F104" s="1095"/>
      <c r="G104" s="1095"/>
      <c r="H104" s="1095"/>
      <c r="I104" s="1096"/>
      <c r="J104" s="1016"/>
      <c r="K104" s="1016"/>
      <c r="L104" s="1041"/>
      <c r="M104" s="1043"/>
      <c r="N104" s="1028"/>
      <c r="O104" s="1036"/>
      <c r="P104" s="1028"/>
      <c r="Q104" s="1028"/>
      <c r="R104" s="1028"/>
      <c r="S104" s="1028"/>
      <c r="T104" s="1028"/>
      <c r="U104" s="1033"/>
      <c r="V104" s="1034"/>
    </row>
    <row r="105" spans="1:22" ht="13.5" thickBot="1">
      <c r="A105" s="1007"/>
      <c r="B105" s="1007" t="s">
        <v>202</v>
      </c>
      <c r="C105" s="1019"/>
      <c r="D105" s="1019"/>
      <c r="E105" s="1019"/>
      <c r="F105" s="1019"/>
      <c r="G105" s="1019"/>
      <c r="H105" s="1019"/>
      <c r="I105" s="1020"/>
      <c r="J105" s="1017"/>
      <c r="K105" s="1016"/>
      <c r="L105" s="1041"/>
      <c r="M105" s="1068" t="s">
        <v>180</v>
      </c>
      <c r="N105" s="1069">
        <v>0</v>
      </c>
      <c r="O105" s="1036" t="s">
        <v>144</v>
      </c>
      <c r="P105" s="1069">
        <v>0</v>
      </c>
      <c r="Q105" s="1069">
        <v>0</v>
      </c>
      <c r="R105" s="1069"/>
      <c r="S105" s="1069"/>
      <c r="T105" s="1050"/>
      <c r="U105" s="1097" t="s">
        <v>181</v>
      </c>
      <c r="V105" s="1065">
        <f>P101</f>
        <v>2518983</v>
      </c>
    </row>
    <row r="106" spans="1:22" ht="14.25" thickTop="1" thickBot="1">
      <c r="A106" s="1007"/>
      <c r="B106" s="1021"/>
      <c r="C106" s="1022"/>
      <c r="D106" s="1022"/>
      <c r="E106" s="1022"/>
      <c r="F106" s="1022"/>
      <c r="G106" s="1022"/>
      <c r="H106" s="1022"/>
      <c r="I106" s="1023"/>
      <c r="J106" s="1017"/>
      <c r="K106" s="1016"/>
      <c r="L106" s="1041"/>
      <c r="M106" s="1068"/>
      <c r="N106" s="1036"/>
      <c r="O106" s="1036"/>
      <c r="P106" s="1069"/>
      <c r="Q106" s="1069"/>
      <c r="R106" s="1069"/>
      <c r="S106" s="1069"/>
      <c r="T106" s="1071"/>
      <c r="U106" s="1098"/>
      <c r="V106" s="1052"/>
    </row>
    <row r="107" spans="1:22" ht="14.25" thickTop="1" thickBot="1">
      <c r="A107" s="1007"/>
      <c r="B107" s="1021"/>
      <c r="C107" s="1022"/>
      <c r="D107" s="1022"/>
      <c r="E107" s="1022"/>
      <c r="F107" s="1022"/>
      <c r="G107" s="1022"/>
      <c r="H107" s="1022"/>
      <c r="I107" s="1023"/>
      <c r="J107" s="1017"/>
      <c r="K107" s="1016"/>
      <c r="L107" s="1066">
        <v>0</v>
      </c>
      <c r="M107" s="1068"/>
      <c r="N107" s="1036"/>
      <c r="O107" s="1036"/>
      <c r="P107" s="1069"/>
      <c r="Q107" s="1069"/>
      <c r="R107" s="1069"/>
      <c r="S107" s="1069"/>
      <c r="T107" s="1071"/>
      <c r="U107" s="1098" t="s">
        <v>190</v>
      </c>
      <c r="V107" s="1052">
        <f>Q101</f>
        <v>2724870</v>
      </c>
    </row>
    <row r="108" spans="1:22" ht="13.5" thickTop="1">
      <c r="A108" s="1007"/>
      <c r="B108" s="1024"/>
      <c r="C108" s="1025"/>
      <c r="D108" s="1025"/>
      <c r="E108" s="1025"/>
      <c r="F108" s="1025"/>
      <c r="G108" s="1025"/>
      <c r="H108" s="1025"/>
      <c r="I108" s="1026"/>
      <c r="J108" s="1017"/>
      <c r="K108" s="1016"/>
      <c r="L108" s="1066"/>
      <c r="M108" s="1068"/>
      <c r="N108" s="1036"/>
      <c r="O108" s="1036"/>
      <c r="P108" s="1069"/>
      <c r="Q108" s="1069"/>
      <c r="R108" s="1069"/>
      <c r="S108" s="1069"/>
      <c r="T108" s="1073"/>
      <c r="U108" s="1098"/>
      <c r="V108" s="1052"/>
    </row>
    <row r="109" spans="1:22" ht="13.5" thickBot="1">
      <c r="A109" s="1007"/>
      <c r="B109" s="1053" t="s">
        <v>203</v>
      </c>
      <c r="C109" s="1054"/>
      <c r="D109" s="1054"/>
      <c r="E109" s="1054"/>
      <c r="F109" s="1054"/>
      <c r="G109" s="1054"/>
      <c r="H109" s="1054"/>
      <c r="I109" s="1055"/>
      <c r="J109" s="1016"/>
      <c r="K109" s="1016"/>
      <c r="L109" s="1066"/>
      <c r="M109" s="1045" t="s">
        <v>185</v>
      </c>
      <c r="N109" s="1069">
        <f>SUM(P109:T112)</f>
        <v>5243853</v>
      </c>
      <c r="O109" s="1036" t="s">
        <v>144</v>
      </c>
      <c r="P109" s="1069">
        <v>2518983</v>
      </c>
      <c r="Q109" s="1069">
        <v>2724870</v>
      </c>
      <c r="R109" s="1069"/>
      <c r="S109" s="1069"/>
      <c r="T109" s="1050"/>
      <c r="U109" s="1098"/>
      <c r="V109" s="1099"/>
    </row>
    <row r="110" spans="1:22" ht="14.25" thickTop="1" thickBot="1">
      <c r="A110" s="1007"/>
      <c r="B110" s="1053"/>
      <c r="C110" s="1054"/>
      <c r="D110" s="1054"/>
      <c r="E110" s="1054"/>
      <c r="F110" s="1054"/>
      <c r="G110" s="1054"/>
      <c r="H110" s="1054"/>
      <c r="I110" s="1055"/>
      <c r="J110" s="1016"/>
      <c r="K110" s="1016"/>
      <c r="L110" s="1066"/>
      <c r="M110" s="1046"/>
      <c r="N110" s="1036"/>
      <c r="O110" s="1036"/>
      <c r="P110" s="1069"/>
      <c r="Q110" s="1069"/>
      <c r="R110" s="1069"/>
      <c r="S110" s="1069"/>
      <c r="T110" s="1071"/>
      <c r="U110" s="1098"/>
      <c r="V110" s="1099"/>
    </row>
    <row r="111" spans="1:22" ht="14.25" thickTop="1" thickBot="1">
      <c r="A111" s="1007"/>
      <c r="B111" s="1053"/>
      <c r="C111" s="1054"/>
      <c r="D111" s="1054"/>
      <c r="E111" s="1054"/>
      <c r="F111" s="1054"/>
      <c r="G111" s="1054"/>
      <c r="H111" s="1054"/>
      <c r="I111" s="1055"/>
      <c r="J111" s="1016"/>
      <c r="K111" s="1016"/>
      <c r="L111" s="1066"/>
      <c r="M111" s="1046"/>
      <c r="N111" s="1036"/>
      <c r="O111" s="1036"/>
      <c r="P111" s="1069"/>
      <c r="Q111" s="1069"/>
      <c r="R111" s="1069"/>
      <c r="S111" s="1069"/>
      <c r="T111" s="1071"/>
      <c r="U111" s="1100"/>
      <c r="V111" s="1099"/>
    </row>
    <row r="112" spans="1:22" ht="14.25" thickTop="1" thickBot="1">
      <c r="A112" s="1008"/>
      <c r="B112" s="1056"/>
      <c r="C112" s="1057"/>
      <c r="D112" s="1057"/>
      <c r="E112" s="1057"/>
      <c r="F112" s="1057"/>
      <c r="G112" s="1057"/>
      <c r="H112" s="1057"/>
      <c r="I112" s="1058"/>
      <c r="J112" s="1018"/>
      <c r="K112" s="1018"/>
      <c r="L112" s="1067"/>
      <c r="M112" s="1047"/>
      <c r="N112" s="1051"/>
      <c r="O112" s="1051"/>
      <c r="P112" s="1070"/>
      <c r="Q112" s="1070"/>
      <c r="R112" s="1070"/>
      <c r="S112" s="1070"/>
      <c r="T112" s="1071"/>
      <c r="U112" s="1101"/>
      <c r="V112" s="1102"/>
    </row>
    <row r="113" spans="1:22" ht="14.25" thickTop="1" thickBot="1">
      <c r="A113" s="292"/>
      <c r="B113" s="293"/>
      <c r="C113" s="293"/>
      <c r="D113" s="293"/>
      <c r="E113" s="293"/>
      <c r="F113" s="293"/>
      <c r="G113" s="293"/>
      <c r="H113" s="293"/>
      <c r="I113" s="293"/>
      <c r="J113" s="292"/>
      <c r="K113" s="292"/>
      <c r="L113" s="292"/>
      <c r="M113" s="292"/>
      <c r="N113" s="292"/>
      <c r="O113" s="292"/>
      <c r="P113" s="294"/>
      <c r="Q113" s="294"/>
      <c r="R113" s="294"/>
      <c r="S113" s="294"/>
      <c r="T113" s="294"/>
      <c r="U113" s="294"/>
      <c r="V113" s="295"/>
    </row>
    <row r="114" spans="1:22" ht="13.5" thickTop="1">
      <c r="A114" s="1005">
        <v>8</v>
      </c>
      <c r="B114" s="1009" t="s">
        <v>133</v>
      </c>
      <c r="C114" s="1010"/>
      <c r="D114" s="1010">
        <v>750</v>
      </c>
      <c r="E114" s="1010"/>
      <c r="F114" s="1013"/>
      <c r="G114" s="1013"/>
      <c r="H114" s="1013"/>
      <c r="I114" s="1013"/>
      <c r="J114" s="1015">
        <v>2011</v>
      </c>
      <c r="K114" s="1015">
        <v>2013</v>
      </c>
      <c r="L114" s="1040">
        <f>SUM(N114,L120)</f>
        <v>593380</v>
      </c>
      <c r="M114" s="1042" t="s">
        <v>152</v>
      </c>
      <c r="N114" s="1027">
        <f>SUM(N118:N125)</f>
        <v>586000</v>
      </c>
      <c r="O114" s="1044" t="s">
        <v>144</v>
      </c>
      <c r="P114" s="1027">
        <f>SUM(P118:P125)</f>
        <v>288000</v>
      </c>
      <c r="Q114" s="1027">
        <f t="shared" ref="Q114:T114" si="7">SUM(Q118:Q125)</f>
        <v>298000</v>
      </c>
      <c r="R114" s="1027">
        <f t="shared" si="7"/>
        <v>0</v>
      </c>
      <c r="S114" s="1027">
        <f t="shared" si="7"/>
        <v>0</v>
      </c>
      <c r="T114" s="1027">
        <f t="shared" si="7"/>
        <v>0</v>
      </c>
      <c r="U114" s="1029">
        <f>SUM(V118:V125)</f>
        <v>586000</v>
      </c>
      <c r="V114" s="1030"/>
    </row>
    <row r="115" spans="1:22">
      <c r="A115" s="1006"/>
      <c r="B115" s="1011"/>
      <c r="C115" s="1012"/>
      <c r="D115" s="1012"/>
      <c r="E115" s="1012"/>
      <c r="F115" s="1014"/>
      <c r="G115" s="1014"/>
      <c r="H115" s="1014"/>
      <c r="I115" s="1014"/>
      <c r="J115" s="1016"/>
      <c r="K115" s="1016"/>
      <c r="L115" s="1041"/>
      <c r="M115" s="1043"/>
      <c r="N115" s="1028"/>
      <c r="O115" s="1036"/>
      <c r="P115" s="1028"/>
      <c r="Q115" s="1028"/>
      <c r="R115" s="1028"/>
      <c r="S115" s="1028"/>
      <c r="T115" s="1028"/>
      <c r="U115" s="1031"/>
      <c r="V115" s="1032"/>
    </row>
    <row r="116" spans="1:22">
      <c r="A116" s="1006"/>
      <c r="B116" s="1035" t="s">
        <v>139</v>
      </c>
      <c r="C116" s="1036"/>
      <c r="D116" s="1036">
        <v>75075</v>
      </c>
      <c r="E116" s="1036"/>
      <c r="F116" s="1014"/>
      <c r="G116" s="1014"/>
      <c r="H116" s="1014"/>
      <c r="I116" s="1014"/>
      <c r="J116" s="1016"/>
      <c r="K116" s="1016"/>
      <c r="L116" s="1041"/>
      <c r="M116" s="1043"/>
      <c r="N116" s="1028"/>
      <c r="O116" s="1036"/>
      <c r="P116" s="1028"/>
      <c r="Q116" s="1028"/>
      <c r="R116" s="1028"/>
      <c r="S116" s="1028"/>
      <c r="T116" s="1028"/>
      <c r="U116" s="1031"/>
      <c r="V116" s="1032"/>
    </row>
    <row r="117" spans="1:22">
      <c r="A117" s="1006"/>
      <c r="B117" s="1037"/>
      <c r="C117" s="1038"/>
      <c r="D117" s="1038"/>
      <c r="E117" s="1038"/>
      <c r="F117" s="1039"/>
      <c r="G117" s="1039"/>
      <c r="H117" s="1039"/>
      <c r="I117" s="1039"/>
      <c r="J117" s="1016"/>
      <c r="K117" s="1016"/>
      <c r="L117" s="1041"/>
      <c r="M117" s="1043"/>
      <c r="N117" s="1028"/>
      <c r="O117" s="1036"/>
      <c r="P117" s="1028"/>
      <c r="Q117" s="1028"/>
      <c r="R117" s="1028"/>
      <c r="S117" s="1028"/>
      <c r="T117" s="1028"/>
      <c r="U117" s="1033"/>
      <c r="V117" s="1034"/>
    </row>
    <row r="118" spans="1:22" ht="13.5" thickBot="1">
      <c r="A118" s="1007"/>
      <c r="B118" s="1007" t="s">
        <v>204</v>
      </c>
      <c r="C118" s="1019"/>
      <c r="D118" s="1019"/>
      <c r="E118" s="1019"/>
      <c r="F118" s="1019"/>
      <c r="G118" s="1019"/>
      <c r="H118" s="1019"/>
      <c r="I118" s="1020"/>
      <c r="J118" s="1017"/>
      <c r="K118" s="1016"/>
      <c r="L118" s="1041"/>
      <c r="M118" s="1068" t="s">
        <v>180</v>
      </c>
      <c r="N118" s="1069">
        <f>SUM(P118:T121)</f>
        <v>498100</v>
      </c>
      <c r="O118" s="1036" t="s">
        <v>144</v>
      </c>
      <c r="P118" s="1069">
        <v>244800</v>
      </c>
      <c r="Q118" s="1069">
        <v>253300</v>
      </c>
      <c r="R118" s="1069"/>
      <c r="S118" s="1069"/>
      <c r="T118" s="1050"/>
      <c r="U118" s="1097" t="s">
        <v>181</v>
      </c>
      <c r="V118" s="1065">
        <f>P114</f>
        <v>288000</v>
      </c>
    </row>
    <row r="119" spans="1:22" ht="14.25" thickTop="1" thickBot="1">
      <c r="A119" s="1007"/>
      <c r="B119" s="1021"/>
      <c r="C119" s="1022"/>
      <c r="D119" s="1022"/>
      <c r="E119" s="1022"/>
      <c r="F119" s="1022"/>
      <c r="G119" s="1022"/>
      <c r="H119" s="1022"/>
      <c r="I119" s="1023"/>
      <c r="J119" s="1017"/>
      <c r="K119" s="1016"/>
      <c r="L119" s="1041"/>
      <c r="M119" s="1068"/>
      <c r="N119" s="1036"/>
      <c r="O119" s="1036"/>
      <c r="P119" s="1069"/>
      <c r="Q119" s="1069"/>
      <c r="R119" s="1069"/>
      <c r="S119" s="1069"/>
      <c r="T119" s="1071"/>
      <c r="U119" s="1098"/>
      <c r="V119" s="1052"/>
    </row>
    <row r="120" spans="1:22" ht="14.25" thickTop="1" thickBot="1">
      <c r="A120" s="1007"/>
      <c r="B120" s="1021"/>
      <c r="C120" s="1022"/>
      <c r="D120" s="1022"/>
      <c r="E120" s="1022"/>
      <c r="F120" s="1022"/>
      <c r="G120" s="1022"/>
      <c r="H120" s="1022"/>
      <c r="I120" s="1023"/>
      <c r="J120" s="1017"/>
      <c r="K120" s="1016"/>
      <c r="L120" s="1066">
        <v>7380</v>
      </c>
      <c r="M120" s="1068"/>
      <c r="N120" s="1036"/>
      <c r="O120" s="1036"/>
      <c r="P120" s="1069"/>
      <c r="Q120" s="1069"/>
      <c r="R120" s="1069"/>
      <c r="S120" s="1069"/>
      <c r="T120" s="1071"/>
      <c r="U120" s="1098" t="s">
        <v>190</v>
      </c>
      <c r="V120" s="1052">
        <f>Q114</f>
        <v>298000</v>
      </c>
    </row>
    <row r="121" spans="1:22" ht="13.5" thickTop="1">
      <c r="A121" s="1007"/>
      <c r="B121" s="1024"/>
      <c r="C121" s="1025"/>
      <c r="D121" s="1025"/>
      <c r="E121" s="1025"/>
      <c r="F121" s="1025"/>
      <c r="G121" s="1025"/>
      <c r="H121" s="1025"/>
      <c r="I121" s="1026"/>
      <c r="J121" s="1017"/>
      <c r="K121" s="1016"/>
      <c r="L121" s="1066"/>
      <c r="M121" s="1068"/>
      <c r="N121" s="1036"/>
      <c r="O121" s="1036"/>
      <c r="P121" s="1069"/>
      <c r="Q121" s="1069"/>
      <c r="R121" s="1069"/>
      <c r="S121" s="1069"/>
      <c r="T121" s="1073"/>
      <c r="U121" s="1098"/>
      <c r="V121" s="1052"/>
    </row>
    <row r="122" spans="1:22" ht="13.5" thickBot="1">
      <c r="A122" s="1007"/>
      <c r="B122" s="1053" t="s">
        <v>203</v>
      </c>
      <c r="C122" s="1054"/>
      <c r="D122" s="1054"/>
      <c r="E122" s="1054"/>
      <c r="F122" s="1054"/>
      <c r="G122" s="1054"/>
      <c r="H122" s="1054"/>
      <c r="I122" s="1055"/>
      <c r="J122" s="1016"/>
      <c r="K122" s="1016"/>
      <c r="L122" s="1066"/>
      <c r="M122" s="1045" t="s">
        <v>185</v>
      </c>
      <c r="N122" s="1069">
        <f>SUM(P122:T125)</f>
        <v>87900</v>
      </c>
      <c r="O122" s="1036" t="s">
        <v>144</v>
      </c>
      <c r="P122" s="1069">
        <v>43200</v>
      </c>
      <c r="Q122" s="1069">
        <v>44700</v>
      </c>
      <c r="R122" s="1069"/>
      <c r="S122" s="1069"/>
      <c r="T122" s="1050"/>
      <c r="U122" s="1098"/>
      <c r="V122" s="1099"/>
    </row>
    <row r="123" spans="1:22" ht="14.25" thickTop="1" thickBot="1">
      <c r="A123" s="1007"/>
      <c r="B123" s="1053"/>
      <c r="C123" s="1054"/>
      <c r="D123" s="1054"/>
      <c r="E123" s="1054"/>
      <c r="F123" s="1054"/>
      <c r="G123" s="1054"/>
      <c r="H123" s="1054"/>
      <c r="I123" s="1055"/>
      <c r="J123" s="1016"/>
      <c r="K123" s="1016"/>
      <c r="L123" s="1066"/>
      <c r="M123" s="1046"/>
      <c r="N123" s="1036"/>
      <c r="O123" s="1036"/>
      <c r="P123" s="1069"/>
      <c r="Q123" s="1069"/>
      <c r="R123" s="1069"/>
      <c r="S123" s="1069"/>
      <c r="T123" s="1071"/>
      <c r="U123" s="1098"/>
      <c r="V123" s="1099"/>
    </row>
    <row r="124" spans="1:22" ht="14.25" thickTop="1" thickBot="1">
      <c r="A124" s="1007"/>
      <c r="B124" s="1053"/>
      <c r="C124" s="1054"/>
      <c r="D124" s="1054"/>
      <c r="E124" s="1054"/>
      <c r="F124" s="1054"/>
      <c r="G124" s="1054"/>
      <c r="H124" s="1054"/>
      <c r="I124" s="1055"/>
      <c r="J124" s="1016"/>
      <c r="K124" s="1016"/>
      <c r="L124" s="1066"/>
      <c r="M124" s="1046"/>
      <c r="N124" s="1036"/>
      <c r="O124" s="1036"/>
      <c r="P124" s="1069"/>
      <c r="Q124" s="1069"/>
      <c r="R124" s="1069"/>
      <c r="S124" s="1069"/>
      <c r="T124" s="1071"/>
      <c r="U124" s="1100"/>
      <c r="V124" s="1099"/>
    </row>
    <row r="125" spans="1:22" ht="14.25" thickTop="1" thickBot="1">
      <c r="A125" s="1008"/>
      <c r="B125" s="1056"/>
      <c r="C125" s="1057"/>
      <c r="D125" s="1057"/>
      <c r="E125" s="1057"/>
      <c r="F125" s="1057"/>
      <c r="G125" s="1057"/>
      <c r="H125" s="1057"/>
      <c r="I125" s="1058"/>
      <c r="J125" s="1018"/>
      <c r="K125" s="1018"/>
      <c r="L125" s="1067"/>
      <c r="M125" s="1047"/>
      <c r="N125" s="1051"/>
      <c r="O125" s="1051"/>
      <c r="P125" s="1070"/>
      <c r="Q125" s="1070"/>
      <c r="R125" s="1070"/>
      <c r="S125" s="1070"/>
      <c r="T125" s="1071"/>
      <c r="U125" s="1101"/>
      <c r="V125" s="1102"/>
    </row>
    <row r="126" spans="1:22" ht="13.5" thickTop="1">
      <c r="A126" s="292"/>
      <c r="B126" s="293"/>
      <c r="C126" s="293"/>
      <c r="D126" s="293"/>
      <c r="E126" s="293"/>
      <c r="F126" s="293"/>
      <c r="G126" s="293"/>
      <c r="H126" s="293"/>
      <c r="I126" s="293"/>
      <c r="J126" s="296"/>
      <c r="K126" s="296"/>
      <c r="L126" s="297"/>
      <c r="M126" s="296"/>
      <c r="N126" s="296"/>
      <c r="O126" s="296"/>
      <c r="P126" s="298"/>
      <c r="Q126" s="298"/>
      <c r="R126" s="298"/>
      <c r="S126" s="298"/>
      <c r="T126" s="298"/>
      <c r="U126" s="298"/>
      <c r="V126" s="299"/>
    </row>
    <row r="127" spans="1:22" ht="13.5" thickBot="1">
      <c r="A127" s="292"/>
      <c r="B127" s="304"/>
      <c r="C127" s="304"/>
      <c r="D127" s="304"/>
      <c r="E127" s="304"/>
      <c r="F127" s="304"/>
      <c r="G127" s="304"/>
      <c r="H127" s="304"/>
      <c r="I127" s="304"/>
      <c r="J127" s="292"/>
      <c r="K127" s="292"/>
      <c r="L127" s="292"/>
      <c r="M127" s="292"/>
      <c r="N127" s="292"/>
      <c r="O127" s="292"/>
      <c r="P127" s="294"/>
      <c r="Q127" s="294"/>
      <c r="R127" s="305"/>
      <c r="S127" s="294"/>
      <c r="T127" s="294"/>
      <c r="U127" s="294"/>
      <c r="V127" s="295"/>
    </row>
    <row r="128" spans="1:22" ht="13.5" thickTop="1">
      <c r="A128" s="1103" t="s">
        <v>172</v>
      </c>
      <c r="B128" s="1104"/>
      <c r="C128" s="1104"/>
      <c r="D128" s="1104"/>
      <c r="E128" s="1104"/>
      <c r="F128" s="1104"/>
      <c r="G128" s="1104"/>
      <c r="H128" s="1104"/>
      <c r="I128" s="1104"/>
      <c r="J128" s="1104"/>
      <c r="K128" s="1105"/>
      <c r="L128" s="1112">
        <f>SUM(N128,L136)</f>
        <v>11939246</v>
      </c>
      <c r="M128" s="1042" t="s">
        <v>152</v>
      </c>
      <c r="N128" s="1027">
        <f>SUM(N132:N139)</f>
        <v>8763726</v>
      </c>
      <c r="O128" s="1044" t="s">
        <v>144</v>
      </c>
      <c r="P128" s="1027">
        <f>IF(SUM(P132:P139)=(P114+P101+P88+P75+P62+P45+P32+P19),SUM(P132:P139),"błąd")</f>
        <v>4770404</v>
      </c>
      <c r="Q128" s="1027">
        <f t="shared" ref="Q128:T128" si="8">IF(SUM(Q132:Q139)=(Q114+Q101+Q88+Q75+Q62+Q45+Q32+Q19),SUM(Q132:Q139),"błąd")</f>
        <v>3993322</v>
      </c>
      <c r="R128" s="1027">
        <f t="shared" si="8"/>
        <v>0</v>
      </c>
      <c r="S128" s="1027">
        <f t="shared" si="8"/>
        <v>0</v>
      </c>
      <c r="T128" s="1027">
        <f t="shared" si="8"/>
        <v>0</v>
      </c>
      <c r="U128" s="1029">
        <f>SUM(V132:V139)</f>
        <v>8763726</v>
      </c>
      <c r="V128" s="1030"/>
    </row>
    <row r="129" spans="1:22">
      <c r="A129" s="1106"/>
      <c r="B129" s="1107"/>
      <c r="C129" s="1107"/>
      <c r="D129" s="1107"/>
      <c r="E129" s="1107"/>
      <c r="F129" s="1107"/>
      <c r="G129" s="1107"/>
      <c r="H129" s="1107"/>
      <c r="I129" s="1107"/>
      <c r="J129" s="1107"/>
      <c r="K129" s="1108"/>
      <c r="L129" s="1113"/>
      <c r="M129" s="1043"/>
      <c r="N129" s="1028"/>
      <c r="O129" s="1036"/>
      <c r="P129" s="1028"/>
      <c r="Q129" s="1028"/>
      <c r="R129" s="1028"/>
      <c r="S129" s="1028"/>
      <c r="T129" s="1028"/>
      <c r="U129" s="1031"/>
      <c r="V129" s="1032"/>
    </row>
    <row r="130" spans="1:22">
      <c r="A130" s="1106"/>
      <c r="B130" s="1107"/>
      <c r="C130" s="1107"/>
      <c r="D130" s="1107"/>
      <c r="E130" s="1107"/>
      <c r="F130" s="1107"/>
      <c r="G130" s="1107"/>
      <c r="H130" s="1107"/>
      <c r="I130" s="1107"/>
      <c r="J130" s="1107"/>
      <c r="K130" s="1108"/>
      <c r="L130" s="1113"/>
      <c r="M130" s="1043"/>
      <c r="N130" s="1028"/>
      <c r="O130" s="1036"/>
      <c r="P130" s="1028"/>
      <c r="Q130" s="1028"/>
      <c r="R130" s="1028"/>
      <c r="S130" s="1028"/>
      <c r="T130" s="1028"/>
      <c r="U130" s="1031"/>
      <c r="V130" s="1032"/>
    </row>
    <row r="131" spans="1:22">
      <c r="A131" s="1106"/>
      <c r="B131" s="1107"/>
      <c r="C131" s="1107"/>
      <c r="D131" s="1107"/>
      <c r="E131" s="1107"/>
      <c r="F131" s="1107"/>
      <c r="G131" s="1107"/>
      <c r="H131" s="1107"/>
      <c r="I131" s="1107"/>
      <c r="J131" s="1107"/>
      <c r="K131" s="1108"/>
      <c r="L131" s="1113"/>
      <c r="M131" s="1115"/>
      <c r="N131" s="1116"/>
      <c r="O131" s="1036"/>
      <c r="P131" s="1116"/>
      <c r="Q131" s="1116"/>
      <c r="R131" s="1116"/>
      <c r="S131" s="1116"/>
      <c r="T131" s="1116"/>
      <c r="U131" s="1033"/>
      <c r="V131" s="1034"/>
    </row>
    <row r="132" spans="1:22">
      <c r="A132" s="1106"/>
      <c r="B132" s="1107"/>
      <c r="C132" s="1107"/>
      <c r="D132" s="1107"/>
      <c r="E132" s="1107"/>
      <c r="F132" s="1107"/>
      <c r="G132" s="1107"/>
      <c r="H132" s="1107"/>
      <c r="I132" s="1107"/>
      <c r="J132" s="1107"/>
      <c r="K132" s="1108"/>
      <c r="L132" s="1114"/>
      <c r="M132" s="1068" t="s">
        <v>180</v>
      </c>
      <c r="N132" s="1069">
        <f>SUM(P132:T135)</f>
        <v>2981551</v>
      </c>
      <c r="O132" s="1036" t="s">
        <v>144</v>
      </c>
      <c r="P132" s="1069">
        <f>SUM(P53,P23,P36,P92,P66,P79,P105,P118)</f>
        <v>1912278</v>
      </c>
      <c r="Q132" s="1069">
        <f>SUM(Q53,Q23,Q36,Q92,Q66,Q79,Q105,Q118)</f>
        <v>1069273</v>
      </c>
      <c r="R132" s="1048">
        <f t="shared" ref="R132:T132" si="9">SUM(R45,R53,R36,R92,R118)</f>
        <v>0</v>
      </c>
      <c r="S132" s="1048">
        <f t="shared" si="9"/>
        <v>0</v>
      </c>
      <c r="T132" s="1048">
        <f t="shared" si="9"/>
        <v>0</v>
      </c>
      <c r="U132" s="1063" t="s">
        <v>181</v>
      </c>
      <c r="V132" s="1065">
        <f>P128</f>
        <v>4770404</v>
      </c>
    </row>
    <row r="133" spans="1:22">
      <c r="A133" s="1106"/>
      <c r="B133" s="1107"/>
      <c r="C133" s="1107"/>
      <c r="D133" s="1107"/>
      <c r="E133" s="1107"/>
      <c r="F133" s="1107"/>
      <c r="G133" s="1107"/>
      <c r="H133" s="1107"/>
      <c r="I133" s="1107"/>
      <c r="J133" s="1107"/>
      <c r="K133" s="1108"/>
      <c r="L133" s="1114"/>
      <c r="M133" s="1068"/>
      <c r="N133" s="1069"/>
      <c r="O133" s="1036"/>
      <c r="P133" s="1069"/>
      <c r="Q133" s="1069"/>
      <c r="R133" s="1049"/>
      <c r="S133" s="1049"/>
      <c r="T133" s="1049"/>
      <c r="U133" s="1064"/>
      <c r="V133" s="1052"/>
    </row>
    <row r="134" spans="1:22">
      <c r="A134" s="1106"/>
      <c r="B134" s="1107"/>
      <c r="C134" s="1107"/>
      <c r="D134" s="1107"/>
      <c r="E134" s="1107"/>
      <c r="F134" s="1107"/>
      <c r="G134" s="1107"/>
      <c r="H134" s="1107"/>
      <c r="I134" s="1107"/>
      <c r="J134" s="1107"/>
      <c r="K134" s="1108"/>
      <c r="L134" s="1114"/>
      <c r="M134" s="1068"/>
      <c r="N134" s="1069"/>
      <c r="O134" s="1036"/>
      <c r="P134" s="1069"/>
      <c r="Q134" s="1069"/>
      <c r="R134" s="1049"/>
      <c r="S134" s="1049"/>
      <c r="T134" s="1049"/>
      <c r="U134" s="1064" t="s">
        <v>190</v>
      </c>
      <c r="V134" s="1052">
        <f>Q128</f>
        <v>3993322</v>
      </c>
    </row>
    <row r="135" spans="1:22">
      <c r="A135" s="1106"/>
      <c r="B135" s="1107"/>
      <c r="C135" s="1107"/>
      <c r="D135" s="1107"/>
      <c r="E135" s="1107"/>
      <c r="F135" s="1107"/>
      <c r="G135" s="1107"/>
      <c r="H135" s="1107"/>
      <c r="I135" s="1107"/>
      <c r="J135" s="1107"/>
      <c r="K135" s="1108"/>
      <c r="L135" s="1114"/>
      <c r="M135" s="1068"/>
      <c r="N135" s="1069"/>
      <c r="O135" s="1036"/>
      <c r="P135" s="1069"/>
      <c r="Q135" s="1069"/>
      <c r="R135" s="1086"/>
      <c r="S135" s="1086"/>
      <c r="T135" s="1086"/>
      <c r="U135" s="1064"/>
      <c r="V135" s="1052"/>
    </row>
    <row r="136" spans="1:22">
      <c r="A136" s="1106"/>
      <c r="B136" s="1107"/>
      <c r="C136" s="1107"/>
      <c r="D136" s="1107"/>
      <c r="E136" s="1107"/>
      <c r="F136" s="1107"/>
      <c r="G136" s="1107"/>
      <c r="H136" s="1107"/>
      <c r="I136" s="1107"/>
      <c r="J136" s="1107"/>
      <c r="K136" s="1108"/>
      <c r="L136" s="1117">
        <f>L25+L38+L53+L68+L81+L94+L107+L120</f>
        <v>3175520</v>
      </c>
      <c r="M136" s="1045" t="s">
        <v>192</v>
      </c>
      <c r="N136" s="1069">
        <f>SUM(P136:T139)</f>
        <v>5782175</v>
      </c>
      <c r="O136" s="1036" t="s">
        <v>144</v>
      </c>
      <c r="P136" s="1048">
        <f>SUM(P49,P57,P40,P96,P70,P83,P109,P122)</f>
        <v>2858126</v>
      </c>
      <c r="Q136" s="1048">
        <f>SUM(Q49,Q57,Q40,Q96,Q70,Q83,Q109,Q122)</f>
        <v>2924049</v>
      </c>
      <c r="R136" s="1049">
        <f t="shared" ref="R136:T136" si="10">SUM(R49,R57,R40,R96,R122)</f>
        <v>0</v>
      </c>
      <c r="S136" s="1049">
        <f t="shared" si="10"/>
        <v>0</v>
      </c>
      <c r="T136" s="1049">
        <f t="shared" si="10"/>
        <v>0</v>
      </c>
      <c r="U136" s="1064" t="s">
        <v>379</v>
      </c>
      <c r="V136" s="1060">
        <f>R128</f>
        <v>0</v>
      </c>
    </row>
    <row r="137" spans="1:22">
      <c r="A137" s="1106"/>
      <c r="B137" s="1107"/>
      <c r="C137" s="1107"/>
      <c r="D137" s="1107"/>
      <c r="E137" s="1107"/>
      <c r="F137" s="1107"/>
      <c r="G137" s="1107"/>
      <c r="H137" s="1107"/>
      <c r="I137" s="1107"/>
      <c r="J137" s="1107"/>
      <c r="K137" s="1108"/>
      <c r="L137" s="1117"/>
      <c r="M137" s="1046"/>
      <c r="N137" s="1069"/>
      <c r="O137" s="1036"/>
      <c r="P137" s="1049"/>
      <c r="Q137" s="1049"/>
      <c r="R137" s="1049"/>
      <c r="S137" s="1049"/>
      <c r="T137" s="1049"/>
      <c r="U137" s="1064"/>
      <c r="V137" s="1060"/>
    </row>
    <row r="138" spans="1:22">
      <c r="A138" s="1106"/>
      <c r="B138" s="1107"/>
      <c r="C138" s="1107"/>
      <c r="D138" s="1107"/>
      <c r="E138" s="1107"/>
      <c r="F138" s="1107"/>
      <c r="G138" s="1107"/>
      <c r="H138" s="1107"/>
      <c r="I138" s="1107"/>
      <c r="J138" s="1107"/>
      <c r="K138" s="1108"/>
      <c r="L138" s="1117"/>
      <c r="M138" s="1046"/>
      <c r="N138" s="1069"/>
      <c r="O138" s="1036"/>
      <c r="P138" s="1049"/>
      <c r="Q138" s="1049"/>
      <c r="R138" s="1049"/>
      <c r="S138" s="1049"/>
      <c r="T138" s="1049"/>
      <c r="U138" s="1059"/>
      <c r="V138" s="1060">
        <f>S128</f>
        <v>0</v>
      </c>
    </row>
    <row r="139" spans="1:22" ht="13.5" thickBot="1">
      <c r="A139" s="1109"/>
      <c r="B139" s="1110"/>
      <c r="C139" s="1110"/>
      <c r="D139" s="1110"/>
      <c r="E139" s="1110"/>
      <c r="F139" s="1110"/>
      <c r="G139" s="1110"/>
      <c r="H139" s="1110"/>
      <c r="I139" s="1110"/>
      <c r="J139" s="1110"/>
      <c r="K139" s="1111"/>
      <c r="L139" s="1118"/>
      <c r="M139" s="1047"/>
      <c r="N139" s="1070"/>
      <c r="O139" s="1051"/>
      <c r="P139" s="1050"/>
      <c r="Q139" s="1050"/>
      <c r="R139" s="1050"/>
      <c r="S139" s="1050"/>
      <c r="T139" s="1050"/>
      <c r="U139" s="1061"/>
      <c r="V139" s="1062"/>
    </row>
    <row r="140" spans="1:22" ht="13.5" thickTop="1">
      <c r="M140" s="309"/>
      <c r="N140" s="309"/>
      <c r="O140" s="309"/>
      <c r="P140" s="309"/>
      <c r="Q140" s="309"/>
      <c r="R140" s="309"/>
      <c r="S140" s="309"/>
      <c r="T140" s="309"/>
      <c r="U140" s="309"/>
      <c r="V140" s="310"/>
    </row>
    <row r="141" spans="1:22">
      <c r="P141" s="879"/>
      <c r="Q141" s="879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</mergeCells>
  <pageMargins left="0.51181102362204722" right="0.5118110236220472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W218"/>
  <sheetViews>
    <sheetView tabSelected="1" view="pageBreakPreview" zoomScale="85" zoomScaleNormal="100" zoomScaleSheetLayoutView="85" workbookViewId="0">
      <selection activeCell="S1" sqref="S1:V1"/>
    </sheetView>
  </sheetViews>
  <sheetFormatPr defaultColWidth="0" defaultRowHeight="12.75"/>
  <cols>
    <col min="1" max="1" width="3.28515625" style="306" customWidth="1"/>
    <col min="2" max="2" width="4.42578125" style="307" customWidth="1"/>
    <col min="3" max="3" width="3.85546875" style="307" customWidth="1"/>
    <col min="4" max="4" width="4.7109375" style="307" customWidth="1"/>
    <col min="5" max="5" width="5.85546875" style="307" customWidth="1"/>
    <col min="6" max="6" width="6.7109375" style="308" customWidth="1"/>
    <col min="7" max="7" width="6.140625" style="308" customWidth="1"/>
    <col min="8" max="8" width="5.85546875" style="308" customWidth="1"/>
    <col min="9" max="9" width="4.85546875" style="308" customWidth="1"/>
    <col min="10" max="11" width="5.5703125" style="308" customWidth="1"/>
    <col min="12" max="12" width="17.140625" style="308" customWidth="1"/>
    <col min="13" max="13" width="16.5703125" style="308" customWidth="1"/>
    <col min="14" max="14" width="15.140625" style="308" customWidth="1"/>
    <col min="15" max="15" width="2.28515625" style="308" customWidth="1"/>
    <col min="16" max="16" width="15.7109375" style="308" customWidth="1"/>
    <col min="17" max="17" width="15.28515625" style="308" customWidth="1"/>
    <col min="18" max="18" width="15.42578125" style="308" customWidth="1"/>
    <col min="19" max="19" width="16.140625" style="308" customWidth="1"/>
    <col min="20" max="20" width="10.85546875" style="308" customWidth="1"/>
    <col min="21" max="21" width="8.28515625" style="308" customWidth="1"/>
    <col min="22" max="22" width="14.28515625" style="311" customWidth="1"/>
    <col min="23" max="23" width="2.42578125" style="435" customWidth="1"/>
    <col min="24" max="16384" width="9.140625" hidden="1"/>
  </cols>
  <sheetData>
    <row r="1" spans="1:22" ht="66" customHeight="1">
      <c r="A1" s="281"/>
      <c r="B1" s="282"/>
      <c r="C1" s="282"/>
      <c r="D1" s="282"/>
      <c r="E1" s="282"/>
      <c r="F1" s="283"/>
      <c r="G1" s="283"/>
      <c r="H1" s="283"/>
      <c r="I1" s="283"/>
      <c r="J1" s="283"/>
      <c r="K1" s="283"/>
      <c r="L1" s="283"/>
      <c r="M1" s="434"/>
      <c r="N1" s="434"/>
      <c r="O1" s="434"/>
      <c r="P1" s="434"/>
      <c r="Q1" s="443"/>
      <c r="R1" s="443"/>
      <c r="S1" s="1254" t="s">
        <v>396</v>
      </c>
      <c r="T1" s="1255"/>
      <c r="U1" s="1255"/>
      <c r="V1" s="1255"/>
    </row>
    <row r="2" spans="1:22" ht="21.75">
      <c r="A2" s="1256" t="s">
        <v>131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</row>
    <row r="3" spans="1:22" ht="72" customHeight="1">
      <c r="A3" s="1183" t="s">
        <v>392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</row>
    <row r="4" spans="1:22" ht="20.25" customHeight="1" thickBot="1">
      <c r="A4" s="284"/>
      <c r="B4" s="285"/>
      <c r="C4" s="285"/>
      <c r="D4" s="285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7"/>
    </row>
    <row r="5" spans="1:22" ht="13.5" thickTop="1">
      <c r="A5" s="1184" t="s">
        <v>132</v>
      </c>
      <c r="B5" s="1188" t="s">
        <v>133</v>
      </c>
      <c r="C5" s="1188"/>
      <c r="D5" s="1188" t="s">
        <v>134</v>
      </c>
      <c r="E5" s="1188"/>
      <c r="F5" s="1188" t="s">
        <v>135</v>
      </c>
      <c r="G5" s="1188"/>
      <c r="H5" s="1188"/>
      <c r="I5" s="1188"/>
      <c r="J5" s="1190" t="s">
        <v>136</v>
      </c>
      <c r="K5" s="1191"/>
      <c r="L5" s="1196" t="s">
        <v>137</v>
      </c>
      <c r="M5" s="1190" t="s">
        <v>138</v>
      </c>
      <c r="N5" s="1198"/>
      <c r="O5" s="1198"/>
      <c r="P5" s="1199"/>
      <c r="Q5" s="1199"/>
      <c r="R5" s="1199"/>
      <c r="S5" s="1199"/>
      <c r="T5" s="1199"/>
      <c r="U5" s="1199"/>
      <c r="V5" s="1200"/>
    </row>
    <row r="6" spans="1:22">
      <c r="A6" s="1185"/>
      <c r="B6" s="1189"/>
      <c r="C6" s="1189"/>
      <c r="D6" s="1189"/>
      <c r="E6" s="1189"/>
      <c r="F6" s="1189"/>
      <c r="G6" s="1189"/>
      <c r="H6" s="1189"/>
      <c r="I6" s="1189"/>
      <c r="J6" s="1192"/>
      <c r="K6" s="1193"/>
      <c r="L6" s="1197"/>
      <c r="M6" s="1201"/>
      <c r="N6" s="1202"/>
      <c r="O6" s="1202"/>
      <c r="P6" s="1202"/>
      <c r="Q6" s="1202"/>
      <c r="R6" s="1202"/>
      <c r="S6" s="1202"/>
      <c r="T6" s="1202"/>
      <c r="U6" s="1202"/>
      <c r="V6" s="1203"/>
    </row>
    <row r="7" spans="1:22">
      <c r="A7" s="1185"/>
      <c r="B7" s="1217" t="s">
        <v>139</v>
      </c>
      <c r="C7" s="1218"/>
      <c r="D7" s="1217" t="s">
        <v>140</v>
      </c>
      <c r="E7" s="1218"/>
      <c r="F7" s="1217" t="s">
        <v>141</v>
      </c>
      <c r="G7" s="1219"/>
      <c r="H7" s="1219"/>
      <c r="I7" s="1218"/>
      <c r="J7" s="1192"/>
      <c r="K7" s="1193"/>
      <c r="L7" s="1197"/>
      <c r="M7" s="1204"/>
      <c r="N7" s="1205"/>
      <c r="O7" s="1205"/>
      <c r="P7" s="1205"/>
      <c r="Q7" s="1205"/>
      <c r="R7" s="1205"/>
      <c r="S7" s="1205"/>
      <c r="T7" s="1205"/>
      <c r="U7" s="1205"/>
      <c r="V7" s="1206"/>
    </row>
    <row r="8" spans="1:22">
      <c r="A8" s="1185"/>
      <c r="B8" s="1194"/>
      <c r="C8" s="1195"/>
      <c r="D8" s="1194"/>
      <c r="E8" s="1195"/>
      <c r="F8" s="1194"/>
      <c r="G8" s="1220"/>
      <c r="H8" s="1220"/>
      <c r="I8" s="1195"/>
      <c r="J8" s="1192"/>
      <c r="K8" s="1193"/>
      <c r="L8" s="1197"/>
      <c r="M8" s="1207" t="s">
        <v>142</v>
      </c>
      <c r="N8" s="1207" t="s">
        <v>143</v>
      </c>
      <c r="O8" s="1207" t="s">
        <v>144</v>
      </c>
      <c r="P8" s="1207">
        <v>2012</v>
      </c>
      <c r="Q8" s="1207">
        <v>2013</v>
      </c>
      <c r="R8" s="1207">
        <v>2014</v>
      </c>
      <c r="S8" s="1210">
        <v>2015</v>
      </c>
      <c r="T8" s="1210">
        <v>2016</v>
      </c>
      <c r="U8" s="1210" t="s">
        <v>145</v>
      </c>
      <c r="V8" s="1213"/>
    </row>
    <row r="9" spans="1:22">
      <c r="A9" s="1186"/>
      <c r="B9" s="1217" t="s">
        <v>146</v>
      </c>
      <c r="C9" s="1219"/>
      <c r="D9" s="1219"/>
      <c r="E9" s="1219"/>
      <c r="F9" s="1219"/>
      <c r="G9" s="1219"/>
      <c r="H9" s="1219"/>
      <c r="I9" s="1218"/>
      <c r="J9" s="1192"/>
      <c r="K9" s="1193"/>
      <c r="L9" s="1197"/>
      <c r="M9" s="1221"/>
      <c r="N9" s="1208"/>
      <c r="O9" s="1208"/>
      <c r="P9" s="1208"/>
      <c r="Q9" s="1208"/>
      <c r="R9" s="1208"/>
      <c r="S9" s="1211"/>
      <c r="T9" s="1211"/>
      <c r="U9" s="1211"/>
      <c r="V9" s="1214"/>
    </row>
    <row r="10" spans="1:22">
      <c r="A10" s="1186"/>
      <c r="B10" s="1192"/>
      <c r="C10" s="1224"/>
      <c r="D10" s="1224"/>
      <c r="E10" s="1224"/>
      <c r="F10" s="1224"/>
      <c r="G10" s="1224"/>
      <c r="H10" s="1224"/>
      <c r="I10" s="1193"/>
      <c r="J10" s="1194"/>
      <c r="K10" s="1195"/>
      <c r="L10" s="1197"/>
      <c r="M10" s="1221"/>
      <c r="N10" s="1208"/>
      <c r="O10" s="1208"/>
      <c r="P10" s="1208"/>
      <c r="Q10" s="1208"/>
      <c r="R10" s="1208"/>
      <c r="S10" s="1211"/>
      <c r="T10" s="1211"/>
      <c r="U10" s="1211"/>
      <c r="V10" s="1214"/>
    </row>
    <row r="11" spans="1:22">
      <c r="A11" s="1186"/>
      <c r="B11" s="1192"/>
      <c r="C11" s="1224"/>
      <c r="D11" s="1224"/>
      <c r="E11" s="1224"/>
      <c r="F11" s="1224"/>
      <c r="G11" s="1224"/>
      <c r="H11" s="1224"/>
      <c r="I11" s="1193"/>
      <c r="J11" s="1225" t="s">
        <v>147</v>
      </c>
      <c r="K11" s="1225" t="s">
        <v>148</v>
      </c>
      <c r="L11" s="1189" t="s">
        <v>149</v>
      </c>
      <c r="M11" s="1221"/>
      <c r="N11" s="1208"/>
      <c r="O11" s="1208"/>
      <c r="P11" s="1208"/>
      <c r="Q11" s="1208"/>
      <c r="R11" s="1208"/>
      <c r="S11" s="1211"/>
      <c r="T11" s="1211"/>
      <c r="U11" s="1211"/>
      <c r="V11" s="1214"/>
    </row>
    <row r="12" spans="1:22">
      <c r="A12" s="1186"/>
      <c r="B12" s="1194"/>
      <c r="C12" s="1220"/>
      <c r="D12" s="1220"/>
      <c r="E12" s="1220"/>
      <c r="F12" s="1220"/>
      <c r="G12" s="1220"/>
      <c r="H12" s="1220"/>
      <c r="I12" s="1195"/>
      <c r="J12" s="1225"/>
      <c r="K12" s="1225"/>
      <c r="L12" s="1189"/>
      <c r="M12" s="1221"/>
      <c r="N12" s="1208"/>
      <c r="O12" s="1208"/>
      <c r="P12" s="1208"/>
      <c r="Q12" s="1208"/>
      <c r="R12" s="1208"/>
      <c r="S12" s="1211"/>
      <c r="T12" s="1211"/>
      <c r="U12" s="1211"/>
      <c r="V12" s="1214"/>
    </row>
    <row r="13" spans="1:22">
      <c r="A13" s="1186"/>
      <c r="B13" s="1217" t="s">
        <v>150</v>
      </c>
      <c r="C13" s="1219"/>
      <c r="D13" s="1219"/>
      <c r="E13" s="1219"/>
      <c r="F13" s="1219"/>
      <c r="G13" s="1219"/>
      <c r="H13" s="1219"/>
      <c r="I13" s="1218"/>
      <c r="J13" s="1225"/>
      <c r="K13" s="1225"/>
      <c r="L13" s="1189"/>
      <c r="M13" s="1221"/>
      <c r="N13" s="1208"/>
      <c r="O13" s="1208"/>
      <c r="P13" s="1208"/>
      <c r="Q13" s="1208"/>
      <c r="R13" s="1208"/>
      <c r="S13" s="1211"/>
      <c r="T13" s="1211"/>
      <c r="U13" s="1211"/>
      <c r="V13" s="1214"/>
    </row>
    <row r="14" spans="1:22">
      <c r="A14" s="1186"/>
      <c r="B14" s="1192"/>
      <c r="C14" s="1224"/>
      <c r="D14" s="1224"/>
      <c r="E14" s="1224"/>
      <c r="F14" s="1224"/>
      <c r="G14" s="1224"/>
      <c r="H14" s="1224"/>
      <c r="I14" s="1193"/>
      <c r="J14" s="1225"/>
      <c r="K14" s="1225"/>
      <c r="L14" s="1189"/>
      <c r="M14" s="1221"/>
      <c r="N14" s="1208"/>
      <c r="O14" s="1208"/>
      <c r="P14" s="1208"/>
      <c r="Q14" s="1208"/>
      <c r="R14" s="1208"/>
      <c r="S14" s="1211"/>
      <c r="T14" s="1211"/>
      <c r="U14" s="1211"/>
      <c r="V14" s="1214"/>
    </row>
    <row r="15" spans="1:22">
      <c r="A15" s="1186"/>
      <c r="B15" s="1192"/>
      <c r="C15" s="1224"/>
      <c r="D15" s="1224"/>
      <c r="E15" s="1224"/>
      <c r="F15" s="1224"/>
      <c r="G15" s="1224"/>
      <c r="H15" s="1224"/>
      <c r="I15" s="1193"/>
      <c r="J15" s="1225"/>
      <c r="K15" s="1225"/>
      <c r="L15" s="1189"/>
      <c r="M15" s="1221"/>
      <c r="N15" s="1208"/>
      <c r="O15" s="1208"/>
      <c r="P15" s="1208"/>
      <c r="Q15" s="1208"/>
      <c r="R15" s="1208"/>
      <c r="S15" s="1211"/>
      <c r="T15" s="1211"/>
      <c r="U15" s="1211"/>
      <c r="V15" s="1214"/>
    </row>
    <row r="16" spans="1:22" ht="7.5" customHeight="1" thickBot="1">
      <c r="A16" s="1187"/>
      <c r="B16" s="1228"/>
      <c r="C16" s="1229"/>
      <c r="D16" s="1229"/>
      <c r="E16" s="1229"/>
      <c r="F16" s="1229"/>
      <c r="G16" s="1229"/>
      <c r="H16" s="1229"/>
      <c r="I16" s="1230"/>
      <c r="J16" s="1226"/>
      <c r="K16" s="1226"/>
      <c r="L16" s="1227"/>
      <c r="M16" s="1222"/>
      <c r="N16" s="1223"/>
      <c r="O16" s="1223"/>
      <c r="P16" s="1223"/>
      <c r="Q16" s="1209"/>
      <c r="R16" s="1209"/>
      <c r="S16" s="1212"/>
      <c r="T16" s="1212"/>
      <c r="U16" s="1215"/>
      <c r="V16" s="1216"/>
    </row>
    <row r="17" spans="1:22" ht="18.75" customHeight="1" thickTop="1" thickBot="1">
      <c r="A17" s="292"/>
      <c r="B17" s="304"/>
      <c r="C17" s="304"/>
      <c r="D17" s="304"/>
      <c r="E17" s="304"/>
      <c r="F17" s="304"/>
      <c r="G17" s="304"/>
      <c r="H17" s="304"/>
      <c r="I17" s="304"/>
      <c r="J17" s="292"/>
      <c r="K17" s="292"/>
      <c r="L17" s="292"/>
      <c r="M17" s="292"/>
      <c r="N17" s="292"/>
      <c r="O17" s="292"/>
      <c r="P17" s="294"/>
      <c r="Q17" s="294"/>
      <c r="R17" s="305"/>
      <c r="S17" s="294"/>
      <c r="T17" s="294"/>
      <c r="U17" s="294"/>
      <c r="V17" s="295"/>
    </row>
    <row r="18" spans="1:22" ht="13.5" thickTop="1">
      <c r="A18" s="1152">
        <v>1</v>
      </c>
      <c r="B18" s="1155" t="s">
        <v>133</v>
      </c>
      <c r="C18" s="1156"/>
      <c r="D18" s="1156">
        <v>900</v>
      </c>
      <c r="E18" s="1156"/>
      <c r="F18" s="1159" t="s">
        <v>375</v>
      </c>
      <c r="G18" s="1159"/>
      <c r="H18" s="1159"/>
      <c r="I18" s="1159"/>
      <c r="J18" s="1161">
        <v>2008</v>
      </c>
      <c r="K18" s="1231">
        <v>2012</v>
      </c>
      <c r="L18" s="1163">
        <f>SUM(N18,L24)</f>
        <v>11162225.780000001</v>
      </c>
      <c r="M18" s="1165" t="s">
        <v>152</v>
      </c>
      <c r="N18" s="1167">
        <f>SUM(N22:N29)</f>
        <v>5657384</v>
      </c>
      <c r="O18" s="1168" t="s">
        <v>144</v>
      </c>
      <c r="P18" s="1167">
        <f>SUM(P22:P29)</f>
        <v>5657384</v>
      </c>
      <c r="Q18" s="1167">
        <f t="shared" ref="Q18:T18" si="0">SUM(Q22:Q29)</f>
        <v>0</v>
      </c>
      <c r="R18" s="1167">
        <f t="shared" si="0"/>
        <v>0</v>
      </c>
      <c r="S18" s="1167">
        <f t="shared" si="0"/>
        <v>0</v>
      </c>
      <c r="T18" s="1167">
        <f t="shared" si="0"/>
        <v>0</v>
      </c>
      <c r="U18" s="1169">
        <f>SUM(V22:V29)</f>
        <v>5657384</v>
      </c>
      <c r="V18" s="1170"/>
    </row>
    <row r="19" spans="1:22">
      <c r="A19" s="1153"/>
      <c r="B19" s="1157"/>
      <c r="C19" s="1158"/>
      <c r="D19" s="1158"/>
      <c r="E19" s="1158"/>
      <c r="F19" s="1160"/>
      <c r="G19" s="1160"/>
      <c r="H19" s="1160"/>
      <c r="I19" s="1160"/>
      <c r="J19" s="1134"/>
      <c r="K19" s="1232"/>
      <c r="L19" s="1233"/>
      <c r="M19" s="1166"/>
      <c r="N19" s="1124"/>
      <c r="O19" s="1138"/>
      <c r="P19" s="1124"/>
      <c r="Q19" s="1124"/>
      <c r="R19" s="1124"/>
      <c r="S19" s="1124"/>
      <c r="T19" s="1124"/>
      <c r="U19" s="1171"/>
      <c r="V19" s="1172"/>
    </row>
    <row r="20" spans="1:22">
      <c r="A20" s="1153"/>
      <c r="B20" s="1175" t="s">
        <v>139</v>
      </c>
      <c r="C20" s="1138"/>
      <c r="D20" s="1138">
        <v>90002</v>
      </c>
      <c r="E20" s="1138"/>
      <c r="F20" s="1160" t="s">
        <v>376</v>
      </c>
      <c r="G20" s="1160"/>
      <c r="H20" s="1160"/>
      <c r="I20" s="1160"/>
      <c r="J20" s="1134"/>
      <c r="K20" s="1232"/>
      <c r="L20" s="1233"/>
      <c r="M20" s="1166"/>
      <c r="N20" s="1124"/>
      <c r="O20" s="1138"/>
      <c r="P20" s="1124"/>
      <c r="Q20" s="1124"/>
      <c r="R20" s="1124"/>
      <c r="S20" s="1124"/>
      <c r="T20" s="1124"/>
      <c r="U20" s="1171"/>
      <c r="V20" s="1172"/>
    </row>
    <row r="21" spans="1:22">
      <c r="A21" s="1153"/>
      <c r="B21" s="1176"/>
      <c r="C21" s="1133"/>
      <c r="D21" s="1133"/>
      <c r="E21" s="1133"/>
      <c r="F21" s="1179"/>
      <c r="G21" s="1179"/>
      <c r="H21" s="1179"/>
      <c r="I21" s="1179"/>
      <c r="J21" s="1134"/>
      <c r="K21" s="1232"/>
      <c r="L21" s="1233"/>
      <c r="M21" s="1166"/>
      <c r="N21" s="1124"/>
      <c r="O21" s="1138"/>
      <c r="P21" s="1124"/>
      <c r="Q21" s="1124"/>
      <c r="R21" s="1124"/>
      <c r="S21" s="1124"/>
      <c r="T21" s="1124"/>
      <c r="U21" s="1173"/>
      <c r="V21" s="1174"/>
    </row>
    <row r="22" spans="1:22">
      <c r="A22" s="1142"/>
      <c r="B22" s="1142" t="s">
        <v>393</v>
      </c>
      <c r="C22" s="1143"/>
      <c r="D22" s="1143"/>
      <c r="E22" s="1143"/>
      <c r="F22" s="1143"/>
      <c r="G22" s="1143"/>
      <c r="H22" s="1143"/>
      <c r="I22" s="1144"/>
      <c r="J22" s="1162"/>
      <c r="K22" s="1232"/>
      <c r="L22" s="1233"/>
      <c r="M22" s="1235" t="s">
        <v>155</v>
      </c>
      <c r="N22" s="1136">
        <f>SUM(P22:T25)</f>
        <v>4699589</v>
      </c>
      <c r="O22" s="1138" t="s">
        <v>144</v>
      </c>
      <c r="P22" s="1151">
        <v>4699589</v>
      </c>
      <c r="Q22" s="1151">
        <v>0</v>
      </c>
      <c r="R22" s="1151">
        <v>0</v>
      </c>
      <c r="S22" s="1136">
        <v>0</v>
      </c>
      <c r="T22" s="1136">
        <v>0</v>
      </c>
      <c r="U22" s="1120">
        <f>$P$8</f>
        <v>2012</v>
      </c>
      <c r="V22" s="1122">
        <f>P18</f>
        <v>5657384</v>
      </c>
    </row>
    <row r="23" spans="1:22">
      <c r="A23" s="1142"/>
      <c r="B23" s="1145"/>
      <c r="C23" s="1146"/>
      <c r="D23" s="1146"/>
      <c r="E23" s="1146"/>
      <c r="F23" s="1146"/>
      <c r="G23" s="1146"/>
      <c r="H23" s="1146"/>
      <c r="I23" s="1147"/>
      <c r="J23" s="1162"/>
      <c r="K23" s="1232"/>
      <c r="L23" s="1234"/>
      <c r="M23" s="1235"/>
      <c r="N23" s="1136"/>
      <c r="O23" s="1138"/>
      <c r="P23" s="1180"/>
      <c r="Q23" s="1180"/>
      <c r="R23" s="1180"/>
      <c r="S23" s="1136"/>
      <c r="T23" s="1136"/>
      <c r="U23" s="1121"/>
      <c r="V23" s="1123"/>
    </row>
    <row r="24" spans="1:22">
      <c r="A24" s="1142"/>
      <c r="B24" s="1145"/>
      <c r="C24" s="1146"/>
      <c r="D24" s="1146"/>
      <c r="E24" s="1146"/>
      <c r="F24" s="1146"/>
      <c r="G24" s="1146"/>
      <c r="H24" s="1146"/>
      <c r="I24" s="1147"/>
      <c r="J24" s="1162"/>
      <c r="K24" s="1134"/>
      <c r="L24" s="1236">
        <v>5504841.7800000003</v>
      </c>
      <c r="M24" s="1138"/>
      <c r="N24" s="1136"/>
      <c r="O24" s="1138"/>
      <c r="P24" s="1180"/>
      <c r="Q24" s="1180"/>
      <c r="R24" s="1180"/>
      <c r="S24" s="1136"/>
      <c r="T24" s="1136"/>
      <c r="U24" s="1126">
        <f>$Q$8</f>
        <v>2013</v>
      </c>
      <c r="V24" s="1123">
        <f>Q18</f>
        <v>0</v>
      </c>
    </row>
    <row r="25" spans="1:22">
      <c r="A25" s="1142"/>
      <c r="B25" s="1148"/>
      <c r="C25" s="1149"/>
      <c r="D25" s="1149"/>
      <c r="E25" s="1149"/>
      <c r="F25" s="1149"/>
      <c r="G25" s="1149"/>
      <c r="H25" s="1149"/>
      <c r="I25" s="1150"/>
      <c r="J25" s="1162"/>
      <c r="K25" s="1134"/>
      <c r="L25" s="1233"/>
      <c r="M25" s="1133"/>
      <c r="N25" s="1151"/>
      <c r="O25" s="1138"/>
      <c r="P25" s="1181"/>
      <c r="Q25" s="1181"/>
      <c r="R25" s="1181"/>
      <c r="S25" s="1136"/>
      <c r="T25" s="1136"/>
      <c r="U25" s="1126"/>
      <c r="V25" s="1123"/>
    </row>
    <row r="26" spans="1:22">
      <c r="A26" s="1142"/>
      <c r="B26" s="1127" t="s">
        <v>394</v>
      </c>
      <c r="C26" s="1128"/>
      <c r="D26" s="1128"/>
      <c r="E26" s="1128"/>
      <c r="F26" s="1128"/>
      <c r="G26" s="1128"/>
      <c r="H26" s="1128"/>
      <c r="I26" s="1129"/>
      <c r="J26" s="1134"/>
      <c r="K26" s="1134"/>
      <c r="L26" s="1233"/>
      <c r="M26" s="1133" t="s">
        <v>156</v>
      </c>
      <c r="N26" s="1136">
        <f>SUM(P26:T29)</f>
        <v>957795</v>
      </c>
      <c r="O26" s="1138" t="s">
        <v>144</v>
      </c>
      <c r="P26" s="1151">
        <v>957795</v>
      </c>
      <c r="Q26" s="1151">
        <v>0</v>
      </c>
      <c r="R26" s="1151">
        <v>0</v>
      </c>
      <c r="S26" s="1136">
        <v>0</v>
      </c>
      <c r="T26" s="1136">
        <v>0</v>
      </c>
      <c r="U26" s="1126">
        <f>$R$8</f>
        <v>2014</v>
      </c>
      <c r="V26" s="1123">
        <f>R18</f>
        <v>0</v>
      </c>
    </row>
    <row r="27" spans="1:22">
      <c r="A27" s="1142"/>
      <c r="B27" s="1127"/>
      <c r="C27" s="1128"/>
      <c r="D27" s="1128"/>
      <c r="E27" s="1128"/>
      <c r="F27" s="1128"/>
      <c r="G27" s="1128"/>
      <c r="H27" s="1128"/>
      <c r="I27" s="1129"/>
      <c r="J27" s="1134"/>
      <c r="K27" s="1134"/>
      <c r="L27" s="1233"/>
      <c r="M27" s="1134"/>
      <c r="N27" s="1136"/>
      <c r="O27" s="1138"/>
      <c r="P27" s="1180"/>
      <c r="Q27" s="1180"/>
      <c r="R27" s="1180"/>
      <c r="S27" s="1136"/>
      <c r="T27" s="1136"/>
      <c r="U27" s="1126"/>
      <c r="V27" s="1123"/>
    </row>
    <row r="28" spans="1:22">
      <c r="A28" s="1142"/>
      <c r="B28" s="1127"/>
      <c r="C28" s="1128"/>
      <c r="D28" s="1128"/>
      <c r="E28" s="1128"/>
      <c r="F28" s="1128"/>
      <c r="G28" s="1128"/>
      <c r="H28" s="1128"/>
      <c r="I28" s="1129"/>
      <c r="J28" s="1134"/>
      <c r="K28" s="1134"/>
      <c r="L28" s="1233"/>
      <c r="M28" s="1134"/>
      <c r="N28" s="1136"/>
      <c r="O28" s="1138"/>
      <c r="P28" s="1180"/>
      <c r="Q28" s="1180"/>
      <c r="R28" s="1180"/>
      <c r="S28" s="1136"/>
      <c r="T28" s="1136"/>
      <c r="U28" s="1126">
        <f>$S$8</f>
        <v>2015</v>
      </c>
      <c r="V28" s="1123">
        <f>S18</f>
        <v>0</v>
      </c>
    </row>
    <row r="29" spans="1:22" ht="13.5" thickBot="1">
      <c r="A29" s="1154"/>
      <c r="B29" s="1130"/>
      <c r="C29" s="1131"/>
      <c r="D29" s="1131"/>
      <c r="E29" s="1131"/>
      <c r="F29" s="1131"/>
      <c r="G29" s="1131"/>
      <c r="H29" s="1131"/>
      <c r="I29" s="1132"/>
      <c r="J29" s="1135"/>
      <c r="K29" s="1135"/>
      <c r="L29" s="1237"/>
      <c r="M29" s="1135"/>
      <c r="N29" s="1137"/>
      <c r="O29" s="1139"/>
      <c r="P29" s="1182"/>
      <c r="Q29" s="1182"/>
      <c r="R29" s="1182"/>
      <c r="S29" s="1137"/>
      <c r="T29" s="1137"/>
      <c r="U29" s="1140"/>
      <c r="V29" s="1141"/>
    </row>
    <row r="30" spans="1:22" ht="22.5" customHeight="1" thickTop="1" thickBot="1">
      <c r="A30" s="918"/>
      <c r="B30" s="920"/>
      <c r="C30" s="920"/>
      <c r="D30" s="920"/>
      <c r="E30" s="920"/>
      <c r="F30" s="920"/>
      <c r="G30" s="920"/>
      <c r="H30" s="920"/>
      <c r="I30" s="920"/>
      <c r="J30" s="918"/>
      <c r="K30" s="918"/>
      <c r="L30" s="918"/>
      <c r="M30" s="918"/>
      <c r="N30" s="918"/>
      <c r="O30" s="918"/>
      <c r="P30" s="294"/>
      <c r="Q30" s="294"/>
      <c r="R30" s="305"/>
      <c r="S30" s="294"/>
      <c r="T30" s="294"/>
      <c r="U30" s="294"/>
      <c r="V30" s="295"/>
    </row>
    <row r="31" spans="1:22" ht="13.5" thickTop="1">
      <c r="A31" s="1152">
        <v>2</v>
      </c>
      <c r="B31" s="1155" t="s">
        <v>133</v>
      </c>
      <c r="C31" s="1156"/>
      <c r="D31" s="1156">
        <v>921</v>
      </c>
      <c r="E31" s="1156"/>
      <c r="F31" s="1159" t="s">
        <v>151</v>
      </c>
      <c r="G31" s="1159"/>
      <c r="H31" s="1159"/>
      <c r="I31" s="1159"/>
      <c r="J31" s="1161">
        <v>2010</v>
      </c>
      <c r="K31" s="1231">
        <v>2014</v>
      </c>
      <c r="L31" s="1163">
        <f>SUM(N31,L37)</f>
        <v>12000000</v>
      </c>
      <c r="M31" s="1165" t="s">
        <v>152</v>
      </c>
      <c r="N31" s="1167">
        <f>SUM(N35:N42)</f>
        <v>11816874</v>
      </c>
      <c r="O31" s="1168" t="s">
        <v>144</v>
      </c>
      <c r="P31" s="1167">
        <f>SUM(P35:P42)</f>
        <v>1200000</v>
      </c>
      <c r="Q31" s="1167">
        <f t="shared" ref="Q31:T31" si="1">SUM(Q35:Q42)</f>
        <v>7000000</v>
      </c>
      <c r="R31" s="1167">
        <f t="shared" si="1"/>
        <v>3616874</v>
      </c>
      <c r="S31" s="1167">
        <f t="shared" si="1"/>
        <v>0</v>
      </c>
      <c r="T31" s="1167">
        <f t="shared" si="1"/>
        <v>0</v>
      </c>
      <c r="U31" s="1169">
        <f>SUM(V35:V42)</f>
        <v>11816874</v>
      </c>
      <c r="V31" s="1170"/>
    </row>
    <row r="32" spans="1:22">
      <c r="A32" s="1153"/>
      <c r="B32" s="1157"/>
      <c r="C32" s="1158"/>
      <c r="D32" s="1158"/>
      <c r="E32" s="1158"/>
      <c r="F32" s="1160"/>
      <c r="G32" s="1160"/>
      <c r="H32" s="1160"/>
      <c r="I32" s="1160"/>
      <c r="J32" s="1134"/>
      <c r="K32" s="1232"/>
      <c r="L32" s="1233"/>
      <c r="M32" s="1166"/>
      <c r="N32" s="1124"/>
      <c r="O32" s="1138"/>
      <c r="P32" s="1124"/>
      <c r="Q32" s="1124"/>
      <c r="R32" s="1124"/>
      <c r="S32" s="1124"/>
      <c r="T32" s="1124"/>
      <c r="U32" s="1171"/>
      <c r="V32" s="1172"/>
    </row>
    <row r="33" spans="1:22">
      <c r="A33" s="1153"/>
      <c r="B33" s="1175" t="s">
        <v>139</v>
      </c>
      <c r="C33" s="1138"/>
      <c r="D33" s="1138">
        <v>92118</v>
      </c>
      <c r="E33" s="1138"/>
      <c r="F33" s="1160" t="s">
        <v>153</v>
      </c>
      <c r="G33" s="1160"/>
      <c r="H33" s="1160"/>
      <c r="I33" s="1160"/>
      <c r="J33" s="1134"/>
      <c r="K33" s="1232"/>
      <c r="L33" s="1233"/>
      <c r="M33" s="1166"/>
      <c r="N33" s="1124"/>
      <c r="O33" s="1138"/>
      <c r="P33" s="1124"/>
      <c r="Q33" s="1124"/>
      <c r="R33" s="1124"/>
      <c r="S33" s="1124"/>
      <c r="T33" s="1124"/>
      <c r="U33" s="1171"/>
      <c r="V33" s="1172"/>
    </row>
    <row r="34" spans="1:22">
      <c r="A34" s="1153"/>
      <c r="B34" s="1176"/>
      <c r="C34" s="1133"/>
      <c r="D34" s="1133"/>
      <c r="E34" s="1133"/>
      <c r="F34" s="1179"/>
      <c r="G34" s="1179"/>
      <c r="H34" s="1179"/>
      <c r="I34" s="1179"/>
      <c r="J34" s="1134"/>
      <c r="K34" s="1232"/>
      <c r="L34" s="1233"/>
      <c r="M34" s="1166"/>
      <c r="N34" s="1124"/>
      <c r="O34" s="1138"/>
      <c r="P34" s="1124"/>
      <c r="Q34" s="1124"/>
      <c r="R34" s="1124"/>
      <c r="S34" s="1124"/>
      <c r="T34" s="1124"/>
      <c r="U34" s="1173"/>
      <c r="V34" s="1174"/>
    </row>
    <row r="35" spans="1:22">
      <c r="A35" s="1142"/>
      <c r="B35" s="1142" t="s">
        <v>154</v>
      </c>
      <c r="C35" s="1143"/>
      <c r="D35" s="1143"/>
      <c r="E35" s="1143"/>
      <c r="F35" s="1143"/>
      <c r="G35" s="1143"/>
      <c r="H35" s="1143"/>
      <c r="I35" s="1144"/>
      <c r="J35" s="1162"/>
      <c r="K35" s="1232"/>
      <c r="L35" s="1233"/>
      <c r="M35" s="1235" t="s">
        <v>155</v>
      </c>
      <c r="N35" s="1136">
        <f>SUM(P35:T38)</f>
        <v>8108956</v>
      </c>
      <c r="O35" s="1138" t="s">
        <v>144</v>
      </c>
      <c r="P35" s="1151">
        <v>0</v>
      </c>
      <c r="Q35" s="1151">
        <v>4800000</v>
      </c>
      <c r="R35" s="1151">
        <v>3308956</v>
      </c>
      <c r="S35" s="1136">
        <v>0</v>
      </c>
      <c r="T35" s="1136">
        <v>0</v>
      </c>
      <c r="U35" s="1120">
        <f>$P$8</f>
        <v>2012</v>
      </c>
      <c r="V35" s="1122">
        <f>P31</f>
        <v>1200000</v>
      </c>
    </row>
    <row r="36" spans="1:22">
      <c r="A36" s="1142"/>
      <c r="B36" s="1145"/>
      <c r="C36" s="1146"/>
      <c r="D36" s="1146"/>
      <c r="E36" s="1146"/>
      <c r="F36" s="1146"/>
      <c r="G36" s="1146"/>
      <c r="H36" s="1146"/>
      <c r="I36" s="1147"/>
      <c r="J36" s="1162"/>
      <c r="K36" s="1232"/>
      <c r="L36" s="1234"/>
      <c r="M36" s="1235"/>
      <c r="N36" s="1136"/>
      <c r="O36" s="1138"/>
      <c r="P36" s="1180"/>
      <c r="Q36" s="1180"/>
      <c r="R36" s="1180"/>
      <c r="S36" s="1136"/>
      <c r="T36" s="1136"/>
      <c r="U36" s="1121"/>
      <c r="V36" s="1123"/>
    </row>
    <row r="37" spans="1:22">
      <c r="A37" s="1142"/>
      <c r="B37" s="1145"/>
      <c r="C37" s="1146"/>
      <c r="D37" s="1146"/>
      <c r="E37" s="1146"/>
      <c r="F37" s="1146"/>
      <c r="G37" s="1146"/>
      <c r="H37" s="1146"/>
      <c r="I37" s="1147"/>
      <c r="J37" s="1162"/>
      <c r="K37" s="1134"/>
      <c r="L37" s="1236">
        <v>183126</v>
      </c>
      <c r="M37" s="1138"/>
      <c r="N37" s="1136"/>
      <c r="O37" s="1138"/>
      <c r="P37" s="1180"/>
      <c r="Q37" s="1180"/>
      <c r="R37" s="1180"/>
      <c r="S37" s="1136"/>
      <c r="T37" s="1136"/>
      <c r="U37" s="1126">
        <f>$Q$8</f>
        <v>2013</v>
      </c>
      <c r="V37" s="1123">
        <f>Q31</f>
        <v>7000000</v>
      </c>
    </row>
    <row r="38" spans="1:22">
      <c r="A38" s="1142"/>
      <c r="B38" s="1148"/>
      <c r="C38" s="1149"/>
      <c r="D38" s="1149"/>
      <c r="E38" s="1149"/>
      <c r="F38" s="1149"/>
      <c r="G38" s="1149"/>
      <c r="H38" s="1149"/>
      <c r="I38" s="1150"/>
      <c r="J38" s="1162"/>
      <c r="K38" s="1134"/>
      <c r="L38" s="1233"/>
      <c r="M38" s="1133"/>
      <c r="N38" s="1151"/>
      <c r="O38" s="1138"/>
      <c r="P38" s="1181"/>
      <c r="Q38" s="1181"/>
      <c r="R38" s="1181"/>
      <c r="S38" s="1136"/>
      <c r="T38" s="1136"/>
      <c r="U38" s="1126"/>
      <c r="V38" s="1123"/>
    </row>
    <row r="39" spans="1:22">
      <c r="A39" s="1142"/>
      <c r="B39" s="1127" t="s">
        <v>391</v>
      </c>
      <c r="C39" s="1128"/>
      <c r="D39" s="1128"/>
      <c r="E39" s="1128"/>
      <c r="F39" s="1128"/>
      <c r="G39" s="1128"/>
      <c r="H39" s="1128"/>
      <c r="I39" s="1129"/>
      <c r="J39" s="1134"/>
      <c r="K39" s="1134"/>
      <c r="L39" s="1233"/>
      <c r="M39" s="1133" t="s">
        <v>156</v>
      </c>
      <c r="N39" s="1136">
        <f>SUM(P39:T42)</f>
        <v>3707918</v>
      </c>
      <c r="O39" s="1138" t="s">
        <v>144</v>
      </c>
      <c r="P39" s="1151">
        <v>1200000</v>
      </c>
      <c r="Q39" s="1151">
        <v>2200000</v>
      </c>
      <c r="R39" s="1151">
        <v>307918</v>
      </c>
      <c r="S39" s="1136">
        <v>0</v>
      </c>
      <c r="T39" s="1136">
        <v>0</v>
      </c>
      <c r="U39" s="1126">
        <f>$R$8</f>
        <v>2014</v>
      </c>
      <c r="V39" s="1123">
        <f>R31</f>
        <v>3616874</v>
      </c>
    </row>
    <row r="40" spans="1:22">
      <c r="A40" s="1142"/>
      <c r="B40" s="1127"/>
      <c r="C40" s="1128"/>
      <c r="D40" s="1128"/>
      <c r="E40" s="1128"/>
      <c r="F40" s="1128"/>
      <c r="G40" s="1128"/>
      <c r="H40" s="1128"/>
      <c r="I40" s="1129"/>
      <c r="J40" s="1134"/>
      <c r="K40" s="1134"/>
      <c r="L40" s="1233"/>
      <c r="M40" s="1134"/>
      <c r="N40" s="1136"/>
      <c r="O40" s="1138"/>
      <c r="P40" s="1180"/>
      <c r="Q40" s="1180"/>
      <c r="R40" s="1180"/>
      <c r="S40" s="1136"/>
      <c r="T40" s="1136"/>
      <c r="U40" s="1126"/>
      <c r="V40" s="1123"/>
    </row>
    <row r="41" spans="1:22">
      <c r="A41" s="1142"/>
      <c r="B41" s="1127"/>
      <c r="C41" s="1128"/>
      <c r="D41" s="1128"/>
      <c r="E41" s="1128"/>
      <c r="F41" s="1128"/>
      <c r="G41" s="1128"/>
      <c r="H41" s="1128"/>
      <c r="I41" s="1129"/>
      <c r="J41" s="1134"/>
      <c r="K41" s="1134"/>
      <c r="L41" s="1233"/>
      <c r="M41" s="1134"/>
      <c r="N41" s="1136"/>
      <c r="O41" s="1138"/>
      <c r="P41" s="1180"/>
      <c r="Q41" s="1180"/>
      <c r="R41" s="1180"/>
      <c r="S41" s="1136"/>
      <c r="T41" s="1136"/>
      <c r="U41" s="1126">
        <f>$S$8</f>
        <v>2015</v>
      </c>
      <c r="V41" s="1123">
        <f>S31</f>
        <v>0</v>
      </c>
    </row>
    <row r="42" spans="1:22" ht="13.5" thickBot="1">
      <c r="A42" s="1154"/>
      <c r="B42" s="1130"/>
      <c r="C42" s="1131"/>
      <c r="D42" s="1131"/>
      <c r="E42" s="1131"/>
      <c r="F42" s="1131"/>
      <c r="G42" s="1131"/>
      <c r="H42" s="1131"/>
      <c r="I42" s="1132"/>
      <c r="J42" s="1135"/>
      <c r="K42" s="1135"/>
      <c r="L42" s="1237"/>
      <c r="M42" s="1135"/>
      <c r="N42" s="1137"/>
      <c r="O42" s="1139"/>
      <c r="P42" s="1182"/>
      <c r="Q42" s="1182"/>
      <c r="R42" s="1182"/>
      <c r="S42" s="1137"/>
      <c r="T42" s="1137"/>
      <c r="U42" s="1140"/>
      <c r="V42" s="1141"/>
    </row>
    <row r="43" spans="1:22" ht="21.75" customHeight="1" thickTop="1" thickBot="1">
      <c r="A43" s="436"/>
      <c r="B43" s="304"/>
      <c r="C43" s="304"/>
      <c r="D43" s="304"/>
      <c r="E43" s="304"/>
      <c r="F43" s="304"/>
      <c r="G43" s="304"/>
      <c r="H43" s="304"/>
      <c r="I43" s="304"/>
      <c r="J43" s="301"/>
      <c r="K43" s="301"/>
      <c r="L43" s="300"/>
      <c r="M43" s="301"/>
      <c r="N43" s="437"/>
      <c r="O43" s="301"/>
      <c r="P43" s="437"/>
      <c r="Q43" s="437"/>
      <c r="R43" s="437"/>
      <c r="S43" s="437"/>
      <c r="T43" s="437"/>
      <c r="U43" s="437"/>
      <c r="V43" s="438"/>
    </row>
    <row r="44" spans="1:22" ht="13.5" thickTop="1">
      <c r="A44" s="1152">
        <v>3</v>
      </c>
      <c r="B44" s="1155" t="s">
        <v>133</v>
      </c>
      <c r="C44" s="1156"/>
      <c r="D44" s="1156">
        <v>600</v>
      </c>
      <c r="E44" s="1156"/>
      <c r="F44" s="1159" t="s">
        <v>157</v>
      </c>
      <c r="G44" s="1159"/>
      <c r="H44" s="1159"/>
      <c r="I44" s="1159"/>
      <c r="J44" s="1161">
        <v>2012</v>
      </c>
      <c r="K44" s="1161">
        <v>2013</v>
      </c>
      <c r="L44" s="1163">
        <f>SUM(N44,L50)</f>
        <v>1391286</v>
      </c>
      <c r="M44" s="1165" t="s">
        <v>152</v>
      </c>
      <c r="N44" s="1167">
        <f>IF(SUM(N48:N55)=U44,SUM(N48:N55),"wielbłąd")</f>
        <v>1391286</v>
      </c>
      <c r="O44" s="1168" t="s">
        <v>144</v>
      </c>
      <c r="P44" s="1167">
        <f>SUM(P48:P55)</f>
        <v>813786</v>
      </c>
      <c r="Q44" s="1167">
        <f t="shared" ref="Q44:T44" si="2">SUM(Q48:Q55)</f>
        <v>577500</v>
      </c>
      <c r="R44" s="1167">
        <f t="shared" si="2"/>
        <v>0</v>
      </c>
      <c r="S44" s="1167">
        <f t="shared" si="2"/>
        <v>0</v>
      </c>
      <c r="T44" s="1167">
        <f t="shared" si="2"/>
        <v>0</v>
      </c>
      <c r="U44" s="1169">
        <f>SUM(V48:V55)</f>
        <v>1391286</v>
      </c>
      <c r="V44" s="1170"/>
    </row>
    <row r="45" spans="1:22">
      <c r="A45" s="1153"/>
      <c r="B45" s="1157"/>
      <c r="C45" s="1158"/>
      <c r="D45" s="1158"/>
      <c r="E45" s="1158"/>
      <c r="F45" s="1160"/>
      <c r="G45" s="1160"/>
      <c r="H45" s="1160"/>
      <c r="I45" s="1160"/>
      <c r="J45" s="1134"/>
      <c r="K45" s="1134"/>
      <c r="L45" s="1164"/>
      <c r="M45" s="1166"/>
      <c r="N45" s="1124"/>
      <c r="O45" s="1138"/>
      <c r="P45" s="1124"/>
      <c r="Q45" s="1124"/>
      <c r="R45" s="1124"/>
      <c r="S45" s="1124"/>
      <c r="T45" s="1124"/>
      <c r="U45" s="1171"/>
      <c r="V45" s="1172"/>
    </row>
    <row r="46" spans="1:22">
      <c r="A46" s="1153"/>
      <c r="B46" s="1175" t="s">
        <v>139</v>
      </c>
      <c r="C46" s="1138"/>
      <c r="D46" s="1138">
        <v>60015</v>
      </c>
      <c r="E46" s="1138"/>
      <c r="F46" s="1177" t="s">
        <v>158</v>
      </c>
      <c r="G46" s="1177"/>
      <c r="H46" s="1177"/>
      <c r="I46" s="1177"/>
      <c r="J46" s="1134"/>
      <c r="K46" s="1134"/>
      <c r="L46" s="1164"/>
      <c r="M46" s="1166"/>
      <c r="N46" s="1124"/>
      <c r="O46" s="1138"/>
      <c r="P46" s="1124"/>
      <c r="Q46" s="1124"/>
      <c r="R46" s="1124"/>
      <c r="S46" s="1124"/>
      <c r="T46" s="1124"/>
      <c r="U46" s="1171"/>
      <c r="V46" s="1172"/>
    </row>
    <row r="47" spans="1:22">
      <c r="A47" s="1153"/>
      <c r="B47" s="1176"/>
      <c r="C47" s="1133"/>
      <c r="D47" s="1133"/>
      <c r="E47" s="1133"/>
      <c r="F47" s="1178"/>
      <c r="G47" s="1178"/>
      <c r="H47" s="1178"/>
      <c r="I47" s="1178"/>
      <c r="J47" s="1134"/>
      <c r="K47" s="1134"/>
      <c r="L47" s="1164"/>
      <c r="M47" s="1166"/>
      <c r="N47" s="1124"/>
      <c r="O47" s="1138"/>
      <c r="P47" s="1124"/>
      <c r="Q47" s="1124"/>
      <c r="R47" s="1124"/>
      <c r="S47" s="1124"/>
      <c r="T47" s="1124"/>
      <c r="U47" s="1173"/>
      <c r="V47" s="1174"/>
    </row>
    <row r="48" spans="1:22">
      <c r="A48" s="1142"/>
      <c r="B48" s="1142" t="s">
        <v>159</v>
      </c>
      <c r="C48" s="1143"/>
      <c r="D48" s="1143"/>
      <c r="E48" s="1143"/>
      <c r="F48" s="1143"/>
      <c r="G48" s="1143"/>
      <c r="H48" s="1143"/>
      <c r="I48" s="1144"/>
      <c r="J48" s="1162"/>
      <c r="K48" s="1134"/>
      <c r="L48" s="1164"/>
      <c r="M48" s="1138" t="s">
        <v>155</v>
      </c>
      <c r="N48" s="1136">
        <f>SUM(P48:T51)</f>
        <v>0</v>
      </c>
      <c r="O48" s="1138" t="s">
        <v>144</v>
      </c>
      <c r="P48" s="1136">
        <v>0</v>
      </c>
      <c r="Q48" s="1136">
        <v>0</v>
      </c>
      <c r="R48" s="1136">
        <v>0</v>
      </c>
      <c r="S48" s="1136">
        <v>0</v>
      </c>
      <c r="T48" s="1136">
        <v>0</v>
      </c>
      <c r="U48" s="1120">
        <f>$P$8</f>
        <v>2012</v>
      </c>
      <c r="V48" s="1122">
        <f>P44</f>
        <v>813786</v>
      </c>
    </row>
    <row r="49" spans="1:22">
      <c r="A49" s="1142"/>
      <c r="B49" s="1145"/>
      <c r="C49" s="1146"/>
      <c r="D49" s="1146"/>
      <c r="E49" s="1146"/>
      <c r="F49" s="1146"/>
      <c r="G49" s="1146"/>
      <c r="H49" s="1146"/>
      <c r="I49" s="1147"/>
      <c r="J49" s="1162"/>
      <c r="K49" s="1134"/>
      <c r="L49" s="1164"/>
      <c r="M49" s="1138"/>
      <c r="N49" s="1136"/>
      <c r="O49" s="1138"/>
      <c r="P49" s="1136"/>
      <c r="Q49" s="1136"/>
      <c r="R49" s="1136"/>
      <c r="S49" s="1136"/>
      <c r="T49" s="1136"/>
      <c r="U49" s="1121"/>
      <c r="V49" s="1123"/>
    </row>
    <row r="50" spans="1:22">
      <c r="A50" s="1142"/>
      <c r="B50" s="1145"/>
      <c r="C50" s="1146"/>
      <c r="D50" s="1146"/>
      <c r="E50" s="1146"/>
      <c r="F50" s="1146"/>
      <c r="G50" s="1146"/>
      <c r="H50" s="1146"/>
      <c r="I50" s="1147"/>
      <c r="J50" s="1162"/>
      <c r="K50" s="1134"/>
      <c r="L50" s="1124">
        <v>0</v>
      </c>
      <c r="M50" s="1138"/>
      <c r="N50" s="1136"/>
      <c r="O50" s="1138"/>
      <c r="P50" s="1136"/>
      <c r="Q50" s="1136"/>
      <c r="R50" s="1136"/>
      <c r="S50" s="1136"/>
      <c r="T50" s="1136"/>
      <c r="U50" s="1126">
        <f>$Q$8</f>
        <v>2013</v>
      </c>
      <c r="V50" s="1123">
        <f>Q44</f>
        <v>577500</v>
      </c>
    </row>
    <row r="51" spans="1:22" ht="9.75" customHeight="1">
      <c r="A51" s="1142"/>
      <c r="B51" s="1148"/>
      <c r="C51" s="1149"/>
      <c r="D51" s="1149"/>
      <c r="E51" s="1149"/>
      <c r="F51" s="1149"/>
      <c r="G51" s="1149"/>
      <c r="H51" s="1149"/>
      <c r="I51" s="1150"/>
      <c r="J51" s="1162"/>
      <c r="K51" s="1134"/>
      <c r="L51" s="1124"/>
      <c r="M51" s="1138"/>
      <c r="N51" s="1151"/>
      <c r="O51" s="1138"/>
      <c r="P51" s="1151"/>
      <c r="Q51" s="1136"/>
      <c r="R51" s="1136"/>
      <c r="S51" s="1136"/>
      <c r="T51" s="1136"/>
      <c r="U51" s="1126"/>
      <c r="V51" s="1123"/>
    </row>
    <row r="52" spans="1:22">
      <c r="A52" s="1142"/>
      <c r="B52" s="1127" t="s">
        <v>390</v>
      </c>
      <c r="C52" s="1128"/>
      <c r="D52" s="1128"/>
      <c r="E52" s="1128"/>
      <c r="F52" s="1128"/>
      <c r="G52" s="1128"/>
      <c r="H52" s="1128"/>
      <c r="I52" s="1129"/>
      <c r="J52" s="1134"/>
      <c r="K52" s="1134"/>
      <c r="L52" s="1124"/>
      <c r="M52" s="1133" t="s">
        <v>156</v>
      </c>
      <c r="N52" s="1136">
        <f>SUM(P52:T55)</f>
        <v>1391286</v>
      </c>
      <c r="O52" s="1138" t="s">
        <v>144</v>
      </c>
      <c r="P52" s="1136">
        <v>813786</v>
      </c>
      <c r="Q52" s="1136">
        <v>577500</v>
      </c>
      <c r="R52" s="1136">
        <v>0</v>
      </c>
      <c r="S52" s="1136">
        <v>0</v>
      </c>
      <c r="T52" s="1136">
        <v>0</v>
      </c>
      <c r="U52" s="1126">
        <f>$R$8</f>
        <v>2014</v>
      </c>
      <c r="V52" s="1123">
        <f>R44</f>
        <v>0</v>
      </c>
    </row>
    <row r="53" spans="1:22">
      <c r="A53" s="1142"/>
      <c r="B53" s="1127"/>
      <c r="C53" s="1128"/>
      <c r="D53" s="1128"/>
      <c r="E53" s="1128"/>
      <c r="F53" s="1128"/>
      <c r="G53" s="1128"/>
      <c r="H53" s="1128"/>
      <c r="I53" s="1129"/>
      <c r="J53" s="1134"/>
      <c r="K53" s="1134"/>
      <c r="L53" s="1124"/>
      <c r="M53" s="1134"/>
      <c r="N53" s="1136"/>
      <c r="O53" s="1138"/>
      <c r="P53" s="1136"/>
      <c r="Q53" s="1136"/>
      <c r="R53" s="1136"/>
      <c r="S53" s="1136"/>
      <c r="T53" s="1136"/>
      <c r="U53" s="1126"/>
      <c r="V53" s="1123"/>
    </row>
    <row r="54" spans="1:22">
      <c r="A54" s="1142"/>
      <c r="B54" s="1127"/>
      <c r="C54" s="1128"/>
      <c r="D54" s="1128"/>
      <c r="E54" s="1128"/>
      <c r="F54" s="1128"/>
      <c r="G54" s="1128"/>
      <c r="H54" s="1128"/>
      <c r="I54" s="1129"/>
      <c r="J54" s="1134"/>
      <c r="K54" s="1134"/>
      <c r="L54" s="1124"/>
      <c r="M54" s="1134"/>
      <c r="N54" s="1136"/>
      <c r="O54" s="1138"/>
      <c r="P54" s="1136"/>
      <c r="Q54" s="1136"/>
      <c r="R54" s="1136"/>
      <c r="S54" s="1136"/>
      <c r="T54" s="1136"/>
      <c r="U54" s="1126">
        <f>$S$8</f>
        <v>2015</v>
      </c>
      <c r="V54" s="1123">
        <f>S44</f>
        <v>0</v>
      </c>
    </row>
    <row r="55" spans="1:22" ht="13.5" thickBot="1">
      <c r="A55" s="1154"/>
      <c r="B55" s="1130"/>
      <c r="C55" s="1131"/>
      <c r="D55" s="1131"/>
      <c r="E55" s="1131"/>
      <c r="F55" s="1131"/>
      <c r="G55" s="1131"/>
      <c r="H55" s="1131"/>
      <c r="I55" s="1132"/>
      <c r="J55" s="1135"/>
      <c r="K55" s="1135"/>
      <c r="L55" s="1125"/>
      <c r="M55" s="1135"/>
      <c r="N55" s="1137"/>
      <c r="O55" s="1139"/>
      <c r="P55" s="1137"/>
      <c r="Q55" s="1137"/>
      <c r="R55" s="1137"/>
      <c r="S55" s="1137"/>
      <c r="T55" s="1137"/>
      <c r="U55" s="1140"/>
      <c r="V55" s="1141"/>
    </row>
    <row r="56" spans="1:22" ht="21.75" customHeight="1" thickTop="1" thickBot="1">
      <c r="A56" s="436"/>
      <c r="B56" s="304"/>
      <c r="C56" s="304"/>
      <c r="D56" s="304"/>
      <c r="E56" s="304"/>
      <c r="F56" s="304"/>
      <c r="G56" s="304"/>
      <c r="H56" s="304"/>
      <c r="I56" s="304"/>
      <c r="J56" s="301"/>
      <c r="K56" s="301"/>
      <c r="L56" s="300"/>
      <c r="M56" s="301"/>
      <c r="N56" s="437"/>
      <c r="O56" s="301"/>
      <c r="P56" s="437"/>
      <c r="Q56" s="437"/>
      <c r="R56" s="437"/>
      <c r="S56" s="437"/>
      <c r="T56" s="437"/>
      <c r="U56" s="437"/>
      <c r="V56" s="438"/>
    </row>
    <row r="57" spans="1:22" ht="13.5" thickTop="1">
      <c r="A57" s="1152">
        <v>4</v>
      </c>
      <c r="B57" s="1155" t="s">
        <v>133</v>
      </c>
      <c r="C57" s="1156"/>
      <c r="D57" s="1156">
        <v>600</v>
      </c>
      <c r="E57" s="1156"/>
      <c r="F57" s="1159" t="s">
        <v>157</v>
      </c>
      <c r="G57" s="1159"/>
      <c r="H57" s="1159"/>
      <c r="I57" s="1159"/>
      <c r="J57" s="1161">
        <v>2008</v>
      </c>
      <c r="K57" s="1161">
        <v>2012</v>
      </c>
      <c r="L57" s="1163">
        <f>SUM(N57,L63)</f>
        <v>806766</v>
      </c>
      <c r="M57" s="1165" t="s">
        <v>152</v>
      </c>
      <c r="N57" s="1167">
        <f>IF(SUM(N61:N68)=U57,SUM(N61:N68),"wielbłąd")</f>
        <v>785600</v>
      </c>
      <c r="O57" s="1168" t="s">
        <v>144</v>
      </c>
      <c r="P57" s="1167">
        <f>SUM(P61:P68)</f>
        <v>785600</v>
      </c>
      <c r="Q57" s="1167">
        <f t="shared" ref="Q57:T57" si="3">SUM(Q61:Q68)</f>
        <v>0</v>
      </c>
      <c r="R57" s="1167">
        <f t="shared" si="3"/>
        <v>0</v>
      </c>
      <c r="S57" s="1167">
        <f t="shared" si="3"/>
        <v>0</v>
      </c>
      <c r="T57" s="1167">
        <f t="shared" si="3"/>
        <v>0</v>
      </c>
      <c r="U57" s="1169">
        <f>SUM(V61:V68)</f>
        <v>785600</v>
      </c>
      <c r="V57" s="1170"/>
    </row>
    <row r="58" spans="1:22">
      <c r="A58" s="1153"/>
      <c r="B58" s="1157"/>
      <c r="C58" s="1158"/>
      <c r="D58" s="1158"/>
      <c r="E58" s="1158"/>
      <c r="F58" s="1160"/>
      <c r="G58" s="1160"/>
      <c r="H58" s="1160"/>
      <c r="I58" s="1160"/>
      <c r="J58" s="1134"/>
      <c r="K58" s="1134"/>
      <c r="L58" s="1164"/>
      <c r="M58" s="1166"/>
      <c r="N58" s="1124"/>
      <c r="O58" s="1138"/>
      <c r="P58" s="1124"/>
      <c r="Q58" s="1124"/>
      <c r="R58" s="1124"/>
      <c r="S58" s="1124"/>
      <c r="T58" s="1124"/>
      <c r="U58" s="1171"/>
      <c r="V58" s="1172"/>
    </row>
    <row r="59" spans="1:22">
      <c r="A59" s="1153"/>
      <c r="B59" s="1175" t="s">
        <v>139</v>
      </c>
      <c r="C59" s="1138"/>
      <c r="D59" s="1138">
        <v>60016</v>
      </c>
      <c r="E59" s="1138"/>
      <c r="F59" s="1177" t="s">
        <v>160</v>
      </c>
      <c r="G59" s="1177"/>
      <c r="H59" s="1177"/>
      <c r="I59" s="1177"/>
      <c r="J59" s="1134"/>
      <c r="K59" s="1134"/>
      <c r="L59" s="1164"/>
      <c r="M59" s="1166"/>
      <c r="N59" s="1124"/>
      <c r="O59" s="1138"/>
      <c r="P59" s="1124"/>
      <c r="Q59" s="1124"/>
      <c r="R59" s="1124"/>
      <c r="S59" s="1124"/>
      <c r="T59" s="1124"/>
      <c r="U59" s="1171"/>
      <c r="V59" s="1172"/>
    </row>
    <row r="60" spans="1:22">
      <c r="A60" s="1153"/>
      <c r="B60" s="1176"/>
      <c r="C60" s="1133"/>
      <c r="D60" s="1133"/>
      <c r="E60" s="1133"/>
      <c r="F60" s="1178"/>
      <c r="G60" s="1178"/>
      <c r="H60" s="1178"/>
      <c r="I60" s="1178"/>
      <c r="J60" s="1134"/>
      <c r="K60" s="1134"/>
      <c r="L60" s="1164"/>
      <c r="M60" s="1166"/>
      <c r="N60" s="1124"/>
      <c r="O60" s="1138"/>
      <c r="P60" s="1124"/>
      <c r="Q60" s="1124"/>
      <c r="R60" s="1124"/>
      <c r="S60" s="1124"/>
      <c r="T60" s="1124"/>
      <c r="U60" s="1173"/>
      <c r="V60" s="1174"/>
    </row>
    <row r="61" spans="1:22">
      <c r="A61" s="1142"/>
      <c r="B61" s="1142" t="s">
        <v>395</v>
      </c>
      <c r="C61" s="1143"/>
      <c r="D61" s="1143"/>
      <c r="E61" s="1143"/>
      <c r="F61" s="1143"/>
      <c r="G61" s="1143"/>
      <c r="H61" s="1143"/>
      <c r="I61" s="1144"/>
      <c r="J61" s="1162"/>
      <c r="K61" s="1134"/>
      <c r="L61" s="1164"/>
      <c r="M61" s="1138" t="s">
        <v>155</v>
      </c>
      <c r="N61" s="1136">
        <f>SUM(P61:T64)</f>
        <v>0</v>
      </c>
      <c r="O61" s="1138" t="s">
        <v>144</v>
      </c>
      <c r="P61" s="1136">
        <v>0</v>
      </c>
      <c r="Q61" s="1136">
        <v>0</v>
      </c>
      <c r="R61" s="1136">
        <v>0</v>
      </c>
      <c r="S61" s="1136">
        <v>0</v>
      </c>
      <c r="T61" s="1136">
        <v>0</v>
      </c>
      <c r="U61" s="1120">
        <f>$P$8</f>
        <v>2012</v>
      </c>
      <c r="V61" s="1122">
        <f>P57</f>
        <v>785600</v>
      </c>
    </row>
    <row r="62" spans="1:22">
      <c r="A62" s="1142"/>
      <c r="B62" s="1145"/>
      <c r="C62" s="1146"/>
      <c r="D62" s="1146"/>
      <c r="E62" s="1146"/>
      <c r="F62" s="1146"/>
      <c r="G62" s="1146"/>
      <c r="H62" s="1146"/>
      <c r="I62" s="1147"/>
      <c r="J62" s="1162"/>
      <c r="K62" s="1134"/>
      <c r="L62" s="1164"/>
      <c r="M62" s="1138"/>
      <c r="N62" s="1136"/>
      <c r="O62" s="1138"/>
      <c r="P62" s="1136"/>
      <c r="Q62" s="1136"/>
      <c r="R62" s="1136"/>
      <c r="S62" s="1136"/>
      <c r="T62" s="1136"/>
      <c r="U62" s="1121"/>
      <c r="V62" s="1123"/>
    </row>
    <row r="63" spans="1:22">
      <c r="A63" s="1142"/>
      <c r="B63" s="1145"/>
      <c r="C63" s="1146"/>
      <c r="D63" s="1146"/>
      <c r="E63" s="1146"/>
      <c r="F63" s="1146"/>
      <c r="G63" s="1146"/>
      <c r="H63" s="1146"/>
      <c r="I63" s="1147"/>
      <c r="J63" s="1162"/>
      <c r="K63" s="1134"/>
      <c r="L63" s="1124">
        <v>21166</v>
      </c>
      <c r="M63" s="1138"/>
      <c r="N63" s="1136"/>
      <c r="O63" s="1138"/>
      <c r="P63" s="1136"/>
      <c r="Q63" s="1136"/>
      <c r="R63" s="1136"/>
      <c r="S63" s="1136"/>
      <c r="T63" s="1136"/>
      <c r="U63" s="1126">
        <f>$Q$8</f>
        <v>2013</v>
      </c>
      <c r="V63" s="1123">
        <f>Q57</f>
        <v>0</v>
      </c>
    </row>
    <row r="64" spans="1:22">
      <c r="A64" s="1142"/>
      <c r="B64" s="1148"/>
      <c r="C64" s="1149"/>
      <c r="D64" s="1149"/>
      <c r="E64" s="1149"/>
      <c r="F64" s="1149"/>
      <c r="G64" s="1149"/>
      <c r="H64" s="1149"/>
      <c r="I64" s="1150"/>
      <c r="J64" s="1162"/>
      <c r="K64" s="1134"/>
      <c r="L64" s="1124"/>
      <c r="M64" s="1138"/>
      <c r="N64" s="1151"/>
      <c r="O64" s="1138"/>
      <c r="P64" s="1151"/>
      <c r="Q64" s="1136"/>
      <c r="R64" s="1136"/>
      <c r="S64" s="1136"/>
      <c r="T64" s="1136"/>
      <c r="U64" s="1126"/>
      <c r="V64" s="1123"/>
    </row>
    <row r="65" spans="1:22">
      <c r="A65" s="1142"/>
      <c r="B65" s="1127" t="s">
        <v>389</v>
      </c>
      <c r="C65" s="1128"/>
      <c r="D65" s="1128"/>
      <c r="E65" s="1128"/>
      <c r="F65" s="1128"/>
      <c r="G65" s="1128"/>
      <c r="H65" s="1128"/>
      <c r="I65" s="1129"/>
      <c r="J65" s="1134"/>
      <c r="K65" s="1134"/>
      <c r="L65" s="1124"/>
      <c r="M65" s="1133" t="s">
        <v>156</v>
      </c>
      <c r="N65" s="1136">
        <f>SUM(P65:T68)</f>
        <v>785600</v>
      </c>
      <c r="O65" s="1138" t="s">
        <v>144</v>
      </c>
      <c r="P65" s="1136">
        <v>785600</v>
      </c>
      <c r="Q65" s="1136">
        <v>0</v>
      </c>
      <c r="R65" s="1136">
        <v>0</v>
      </c>
      <c r="S65" s="1136">
        <v>0</v>
      </c>
      <c r="T65" s="1136">
        <v>0</v>
      </c>
      <c r="U65" s="1126">
        <f>$R$8</f>
        <v>2014</v>
      </c>
      <c r="V65" s="1123">
        <f>R57</f>
        <v>0</v>
      </c>
    </row>
    <row r="66" spans="1:22">
      <c r="A66" s="1142"/>
      <c r="B66" s="1127"/>
      <c r="C66" s="1128"/>
      <c r="D66" s="1128"/>
      <c r="E66" s="1128"/>
      <c r="F66" s="1128"/>
      <c r="G66" s="1128"/>
      <c r="H66" s="1128"/>
      <c r="I66" s="1129"/>
      <c r="J66" s="1134"/>
      <c r="K66" s="1134"/>
      <c r="L66" s="1124"/>
      <c r="M66" s="1134"/>
      <c r="N66" s="1136"/>
      <c r="O66" s="1138"/>
      <c r="P66" s="1136"/>
      <c r="Q66" s="1136"/>
      <c r="R66" s="1136"/>
      <c r="S66" s="1136"/>
      <c r="T66" s="1136"/>
      <c r="U66" s="1126"/>
      <c r="V66" s="1123"/>
    </row>
    <row r="67" spans="1:22">
      <c r="A67" s="1142"/>
      <c r="B67" s="1127"/>
      <c r="C67" s="1128"/>
      <c r="D67" s="1128"/>
      <c r="E67" s="1128"/>
      <c r="F67" s="1128"/>
      <c r="G67" s="1128"/>
      <c r="H67" s="1128"/>
      <c r="I67" s="1129"/>
      <c r="J67" s="1134"/>
      <c r="K67" s="1134"/>
      <c r="L67" s="1124"/>
      <c r="M67" s="1134"/>
      <c r="N67" s="1136"/>
      <c r="O67" s="1138"/>
      <c r="P67" s="1136"/>
      <c r="Q67" s="1136"/>
      <c r="R67" s="1136"/>
      <c r="S67" s="1136"/>
      <c r="T67" s="1136"/>
      <c r="U67" s="1126">
        <f>$S$8</f>
        <v>2015</v>
      </c>
      <c r="V67" s="1123">
        <f>S57</f>
        <v>0</v>
      </c>
    </row>
    <row r="68" spans="1:22" ht="13.5" thickBot="1">
      <c r="A68" s="1154"/>
      <c r="B68" s="1130"/>
      <c r="C68" s="1131"/>
      <c r="D68" s="1131"/>
      <c r="E68" s="1131"/>
      <c r="F68" s="1131"/>
      <c r="G68" s="1131"/>
      <c r="H68" s="1131"/>
      <c r="I68" s="1132"/>
      <c r="J68" s="1135"/>
      <c r="K68" s="1135"/>
      <c r="L68" s="1125"/>
      <c r="M68" s="1135"/>
      <c r="N68" s="1137"/>
      <c r="O68" s="1139"/>
      <c r="P68" s="1137"/>
      <c r="Q68" s="1137"/>
      <c r="R68" s="1137"/>
      <c r="S68" s="1137"/>
      <c r="T68" s="1137"/>
      <c r="U68" s="1140"/>
      <c r="V68" s="1141"/>
    </row>
    <row r="69" spans="1:22" ht="18.75" customHeight="1" thickTop="1" thickBot="1">
      <c r="A69" s="921"/>
      <c r="B69" s="922"/>
      <c r="C69" s="922"/>
      <c r="D69" s="922"/>
      <c r="E69" s="922"/>
      <c r="F69" s="922"/>
      <c r="G69" s="922"/>
      <c r="H69" s="922"/>
      <c r="I69" s="922"/>
      <c r="J69" s="301"/>
      <c r="K69" s="301"/>
      <c r="L69" s="300"/>
      <c r="M69" s="301"/>
      <c r="N69" s="437"/>
      <c r="O69" s="301"/>
      <c r="P69" s="437"/>
      <c r="Q69" s="437"/>
      <c r="R69" s="437"/>
      <c r="S69" s="437"/>
      <c r="T69" s="437"/>
      <c r="U69" s="437"/>
      <c r="V69" s="438"/>
    </row>
    <row r="70" spans="1:22" ht="13.5" thickTop="1">
      <c r="A70" s="1152">
        <v>5</v>
      </c>
      <c r="B70" s="1155" t="s">
        <v>133</v>
      </c>
      <c r="C70" s="1156"/>
      <c r="D70" s="1156">
        <v>600</v>
      </c>
      <c r="E70" s="1156"/>
      <c r="F70" s="1159" t="s">
        <v>157</v>
      </c>
      <c r="G70" s="1159"/>
      <c r="H70" s="1159"/>
      <c r="I70" s="1159"/>
      <c r="J70" s="1161">
        <v>2012</v>
      </c>
      <c r="K70" s="1161">
        <v>2013</v>
      </c>
      <c r="L70" s="1163">
        <f>SUM(N70,L76)</f>
        <v>2704885</v>
      </c>
      <c r="M70" s="1165" t="s">
        <v>152</v>
      </c>
      <c r="N70" s="1167">
        <f>IF(SUM(N74:N81)=U70,SUM(N74:N81),"wielbłąd")</f>
        <v>2675000</v>
      </c>
      <c r="O70" s="1168" t="s">
        <v>144</v>
      </c>
      <c r="P70" s="1167">
        <f>SUM(P74:P81)</f>
        <v>0</v>
      </c>
      <c r="Q70" s="1167">
        <f t="shared" ref="Q70:T70" si="4">SUM(Q74:Q81)</f>
        <v>2675000</v>
      </c>
      <c r="R70" s="1167">
        <f t="shared" si="4"/>
        <v>0</v>
      </c>
      <c r="S70" s="1167">
        <f t="shared" si="4"/>
        <v>0</v>
      </c>
      <c r="T70" s="1167">
        <f t="shared" si="4"/>
        <v>0</v>
      </c>
      <c r="U70" s="1169">
        <f>SUM(V74:V81)</f>
        <v>2675000</v>
      </c>
      <c r="V70" s="1170"/>
    </row>
    <row r="71" spans="1:22">
      <c r="A71" s="1153"/>
      <c r="B71" s="1157"/>
      <c r="C71" s="1158"/>
      <c r="D71" s="1158"/>
      <c r="E71" s="1158"/>
      <c r="F71" s="1160"/>
      <c r="G71" s="1160"/>
      <c r="H71" s="1160"/>
      <c r="I71" s="1160"/>
      <c r="J71" s="1134"/>
      <c r="K71" s="1134"/>
      <c r="L71" s="1164"/>
      <c r="M71" s="1166"/>
      <c r="N71" s="1124"/>
      <c r="O71" s="1138"/>
      <c r="P71" s="1124"/>
      <c r="Q71" s="1124"/>
      <c r="R71" s="1124"/>
      <c r="S71" s="1124"/>
      <c r="T71" s="1124"/>
      <c r="U71" s="1171"/>
      <c r="V71" s="1172"/>
    </row>
    <row r="72" spans="1:22">
      <c r="A72" s="1153"/>
      <c r="B72" s="1175" t="s">
        <v>139</v>
      </c>
      <c r="C72" s="1138"/>
      <c r="D72" s="1138">
        <v>60016</v>
      </c>
      <c r="E72" s="1138"/>
      <c r="F72" s="1177" t="s">
        <v>160</v>
      </c>
      <c r="G72" s="1177"/>
      <c r="H72" s="1177"/>
      <c r="I72" s="1177"/>
      <c r="J72" s="1134"/>
      <c r="K72" s="1134"/>
      <c r="L72" s="1164"/>
      <c r="M72" s="1166"/>
      <c r="N72" s="1124"/>
      <c r="O72" s="1138"/>
      <c r="P72" s="1124"/>
      <c r="Q72" s="1124"/>
      <c r="R72" s="1124"/>
      <c r="S72" s="1124"/>
      <c r="T72" s="1124"/>
      <c r="U72" s="1171"/>
      <c r="V72" s="1172"/>
    </row>
    <row r="73" spans="1:22">
      <c r="A73" s="1153"/>
      <c r="B73" s="1176"/>
      <c r="C73" s="1133"/>
      <c r="D73" s="1133"/>
      <c r="E73" s="1133"/>
      <c r="F73" s="1178"/>
      <c r="G73" s="1178"/>
      <c r="H73" s="1178"/>
      <c r="I73" s="1178"/>
      <c r="J73" s="1134"/>
      <c r="K73" s="1134"/>
      <c r="L73" s="1164"/>
      <c r="M73" s="1166"/>
      <c r="N73" s="1124"/>
      <c r="O73" s="1138"/>
      <c r="P73" s="1124"/>
      <c r="Q73" s="1124"/>
      <c r="R73" s="1124"/>
      <c r="S73" s="1124"/>
      <c r="T73" s="1124"/>
      <c r="U73" s="1173"/>
      <c r="V73" s="1174"/>
    </row>
    <row r="74" spans="1:22">
      <c r="A74" s="1142"/>
      <c r="B74" s="1142" t="s">
        <v>161</v>
      </c>
      <c r="C74" s="1143"/>
      <c r="D74" s="1143"/>
      <c r="E74" s="1143"/>
      <c r="F74" s="1143"/>
      <c r="G74" s="1143"/>
      <c r="H74" s="1143"/>
      <c r="I74" s="1144"/>
      <c r="J74" s="1162"/>
      <c r="K74" s="1134"/>
      <c r="L74" s="1164"/>
      <c r="M74" s="1138" t="s">
        <v>155</v>
      </c>
      <c r="N74" s="1136">
        <f>SUM(P74:T77)</f>
        <v>0</v>
      </c>
      <c r="O74" s="1138" t="s">
        <v>144</v>
      </c>
      <c r="P74" s="1136">
        <v>0</v>
      </c>
      <c r="Q74" s="1136">
        <v>0</v>
      </c>
      <c r="R74" s="1136">
        <v>0</v>
      </c>
      <c r="S74" s="1136">
        <v>0</v>
      </c>
      <c r="T74" s="1136">
        <v>0</v>
      </c>
      <c r="U74" s="1120">
        <f>$P$8</f>
        <v>2012</v>
      </c>
      <c r="V74" s="1122">
        <f>P70</f>
        <v>0</v>
      </c>
    </row>
    <row r="75" spans="1:22">
      <c r="A75" s="1142"/>
      <c r="B75" s="1145"/>
      <c r="C75" s="1146"/>
      <c r="D75" s="1146"/>
      <c r="E75" s="1146"/>
      <c r="F75" s="1146"/>
      <c r="G75" s="1146"/>
      <c r="H75" s="1146"/>
      <c r="I75" s="1147"/>
      <c r="J75" s="1162"/>
      <c r="K75" s="1134"/>
      <c r="L75" s="1164"/>
      <c r="M75" s="1138"/>
      <c r="N75" s="1136"/>
      <c r="O75" s="1138"/>
      <c r="P75" s="1136"/>
      <c r="Q75" s="1136"/>
      <c r="R75" s="1136"/>
      <c r="S75" s="1136"/>
      <c r="T75" s="1136"/>
      <c r="U75" s="1121"/>
      <c r="V75" s="1123"/>
    </row>
    <row r="76" spans="1:22">
      <c r="A76" s="1142"/>
      <c r="B76" s="1145"/>
      <c r="C76" s="1146"/>
      <c r="D76" s="1146"/>
      <c r="E76" s="1146"/>
      <c r="F76" s="1146"/>
      <c r="G76" s="1146"/>
      <c r="H76" s="1146"/>
      <c r="I76" s="1147"/>
      <c r="J76" s="1162"/>
      <c r="K76" s="1134"/>
      <c r="L76" s="1124">
        <v>29885</v>
      </c>
      <c r="M76" s="1138"/>
      <c r="N76" s="1136"/>
      <c r="O76" s="1138"/>
      <c r="P76" s="1136"/>
      <c r="Q76" s="1136"/>
      <c r="R76" s="1136"/>
      <c r="S76" s="1136"/>
      <c r="T76" s="1136"/>
      <c r="U76" s="1126">
        <f>$Q$8</f>
        <v>2013</v>
      </c>
      <c r="V76" s="1123">
        <f>Q70</f>
        <v>2675000</v>
      </c>
    </row>
    <row r="77" spans="1:22" ht="9" customHeight="1">
      <c r="A77" s="1142"/>
      <c r="B77" s="1148"/>
      <c r="C77" s="1149"/>
      <c r="D77" s="1149"/>
      <c r="E77" s="1149"/>
      <c r="F77" s="1149"/>
      <c r="G77" s="1149"/>
      <c r="H77" s="1149"/>
      <c r="I77" s="1150"/>
      <c r="J77" s="1162"/>
      <c r="K77" s="1134"/>
      <c r="L77" s="1124"/>
      <c r="M77" s="1138"/>
      <c r="N77" s="1151"/>
      <c r="O77" s="1138"/>
      <c r="P77" s="1151"/>
      <c r="Q77" s="1136"/>
      <c r="R77" s="1136"/>
      <c r="S77" s="1136"/>
      <c r="T77" s="1136"/>
      <c r="U77" s="1126"/>
      <c r="V77" s="1123"/>
    </row>
    <row r="78" spans="1:22">
      <c r="A78" s="1142"/>
      <c r="B78" s="1127" t="s">
        <v>389</v>
      </c>
      <c r="C78" s="1128"/>
      <c r="D78" s="1128"/>
      <c r="E78" s="1128"/>
      <c r="F78" s="1128"/>
      <c r="G78" s="1128"/>
      <c r="H78" s="1128"/>
      <c r="I78" s="1129"/>
      <c r="J78" s="1134"/>
      <c r="K78" s="1134"/>
      <c r="L78" s="1124"/>
      <c r="M78" s="1133" t="s">
        <v>156</v>
      </c>
      <c r="N78" s="1136">
        <f>SUM(P78:T81)</f>
        <v>2675000</v>
      </c>
      <c r="O78" s="1138" t="s">
        <v>144</v>
      </c>
      <c r="P78" s="1136">
        <v>0</v>
      </c>
      <c r="Q78" s="1136">
        <v>2675000</v>
      </c>
      <c r="R78" s="1136">
        <v>0</v>
      </c>
      <c r="S78" s="1136">
        <v>0</v>
      </c>
      <c r="T78" s="1136">
        <v>0</v>
      </c>
      <c r="U78" s="1126">
        <f>$R$8</f>
        <v>2014</v>
      </c>
      <c r="V78" s="1123">
        <f>R70</f>
        <v>0</v>
      </c>
    </row>
    <row r="79" spans="1:22">
      <c r="A79" s="1142"/>
      <c r="B79" s="1127"/>
      <c r="C79" s="1128"/>
      <c r="D79" s="1128"/>
      <c r="E79" s="1128"/>
      <c r="F79" s="1128"/>
      <c r="G79" s="1128"/>
      <c r="H79" s="1128"/>
      <c r="I79" s="1129"/>
      <c r="J79" s="1134"/>
      <c r="K79" s="1134"/>
      <c r="L79" s="1124"/>
      <c r="M79" s="1134"/>
      <c r="N79" s="1136"/>
      <c r="O79" s="1138"/>
      <c r="P79" s="1136"/>
      <c r="Q79" s="1136"/>
      <c r="R79" s="1136"/>
      <c r="S79" s="1136"/>
      <c r="T79" s="1136"/>
      <c r="U79" s="1126"/>
      <c r="V79" s="1123"/>
    </row>
    <row r="80" spans="1:22">
      <c r="A80" s="1142"/>
      <c r="B80" s="1127"/>
      <c r="C80" s="1128"/>
      <c r="D80" s="1128"/>
      <c r="E80" s="1128"/>
      <c r="F80" s="1128"/>
      <c r="G80" s="1128"/>
      <c r="H80" s="1128"/>
      <c r="I80" s="1129"/>
      <c r="J80" s="1134"/>
      <c r="K80" s="1134"/>
      <c r="L80" s="1124"/>
      <c r="M80" s="1134"/>
      <c r="N80" s="1136"/>
      <c r="O80" s="1138"/>
      <c r="P80" s="1136"/>
      <c r="Q80" s="1136"/>
      <c r="R80" s="1136"/>
      <c r="S80" s="1136"/>
      <c r="T80" s="1136"/>
      <c r="U80" s="1126">
        <f>$S$8</f>
        <v>2015</v>
      </c>
      <c r="V80" s="1123">
        <f>S70</f>
        <v>0</v>
      </c>
    </row>
    <row r="81" spans="1:22" ht="13.5" thickBot="1">
      <c r="A81" s="1154"/>
      <c r="B81" s="1130"/>
      <c r="C81" s="1131"/>
      <c r="D81" s="1131"/>
      <c r="E81" s="1131"/>
      <c r="F81" s="1131"/>
      <c r="G81" s="1131"/>
      <c r="H81" s="1131"/>
      <c r="I81" s="1132"/>
      <c r="J81" s="1135"/>
      <c r="K81" s="1135"/>
      <c r="L81" s="1125"/>
      <c r="M81" s="1135"/>
      <c r="N81" s="1137"/>
      <c r="O81" s="1139"/>
      <c r="P81" s="1137"/>
      <c r="Q81" s="1137"/>
      <c r="R81" s="1137"/>
      <c r="S81" s="1137"/>
      <c r="T81" s="1137"/>
      <c r="U81" s="1140"/>
      <c r="V81" s="1141"/>
    </row>
    <row r="82" spans="1:22" ht="18.75" customHeight="1" thickTop="1" thickBot="1">
      <c r="A82" s="436"/>
      <c r="B82" s="304"/>
      <c r="C82" s="304"/>
      <c r="D82" s="304"/>
      <c r="E82" s="304"/>
      <c r="F82" s="304"/>
      <c r="G82" s="304"/>
      <c r="H82" s="304"/>
      <c r="I82" s="304"/>
      <c r="J82" s="301"/>
      <c r="K82" s="301"/>
      <c r="L82" s="300"/>
      <c r="M82" s="301"/>
      <c r="N82" s="437"/>
      <c r="O82" s="301"/>
      <c r="P82" s="437"/>
      <c r="Q82" s="437"/>
      <c r="R82" s="437"/>
      <c r="S82" s="437"/>
      <c r="T82" s="437"/>
      <c r="U82" s="437"/>
      <c r="V82" s="438"/>
    </row>
    <row r="83" spans="1:22" ht="13.5" thickTop="1">
      <c r="A83" s="1152">
        <v>6</v>
      </c>
      <c r="B83" s="1155" t="s">
        <v>133</v>
      </c>
      <c r="C83" s="1156"/>
      <c r="D83" s="1156">
        <v>600</v>
      </c>
      <c r="E83" s="1156"/>
      <c r="F83" s="1159" t="s">
        <v>157</v>
      </c>
      <c r="G83" s="1159"/>
      <c r="H83" s="1159"/>
      <c r="I83" s="1159"/>
      <c r="J83" s="1161">
        <v>2012</v>
      </c>
      <c r="K83" s="1161">
        <v>2013</v>
      </c>
      <c r="L83" s="1163">
        <f>SUM(N83,L89)</f>
        <v>600000</v>
      </c>
      <c r="M83" s="1165" t="s">
        <v>152</v>
      </c>
      <c r="N83" s="1167">
        <f>IF(SUM(N87:N94)=U83,SUM(N87:N94),"wielbłąd")</f>
        <v>600000</v>
      </c>
      <c r="O83" s="1168" t="s">
        <v>144</v>
      </c>
      <c r="P83" s="1167">
        <f>SUM(P87:P94)</f>
        <v>100000</v>
      </c>
      <c r="Q83" s="1167">
        <f t="shared" ref="Q83:T83" si="5">SUM(Q87:Q94)</f>
        <v>500000</v>
      </c>
      <c r="R83" s="1167">
        <f t="shared" si="5"/>
        <v>0</v>
      </c>
      <c r="S83" s="1167">
        <f t="shared" si="5"/>
        <v>0</v>
      </c>
      <c r="T83" s="1167">
        <f t="shared" si="5"/>
        <v>0</v>
      </c>
      <c r="U83" s="1169">
        <f>SUM(V87:V94)</f>
        <v>600000</v>
      </c>
      <c r="V83" s="1170"/>
    </row>
    <row r="84" spans="1:22">
      <c r="A84" s="1153"/>
      <c r="B84" s="1157"/>
      <c r="C84" s="1158"/>
      <c r="D84" s="1158"/>
      <c r="E84" s="1158"/>
      <c r="F84" s="1160"/>
      <c r="G84" s="1160"/>
      <c r="H84" s="1160"/>
      <c r="I84" s="1160"/>
      <c r="J84" s="1134"/>
      <c r="K84" s="1134"/>
      <c r="L84" s="1164"/>
      <c r="M84" s="1166"/>
      <c r="N84" s="1124"/>
      <c r="O84" s="1138"/>
      <c r="P84" s="1124"/>
      <c r="Q84" s="1124"/>
      <c r="R84" s="1124"/>
      <c r="S84" s="1124"/>
      <c r="T84" s="1124"/>
      <c r="U84" s="1171"/>
      <c r="V84" s="1172"/>
    </row>
    <row r="85" spans="1:22">
      <c r="A85" s="1153"/>
      <c r="B85" s="1175" t="s">
        <v>139</v>
      </c>
      <c r="C85" s="1138"/>
      <c r="D85" s="1138">
        <v>60015</v>
      </c>
      <c r="E85" s="1138"/>
      <c r="F85" s="1177" t="s">
        <v>158</v>
      </c>
      <c r="G85" s="1177"/>
      <c r="H85" s="1177"/>
      <c r="I85" s="1177"/>
      <c r="J85" s="1134"/>
      <c r="K85" s="1134"/>
      <c r="L85" s="1164"/>
      <c r="M85" s="1166"/>
      <c r="N85" s="1124"/>
      <c r="O85" s="1138"/>
      <c r="P85" s="1124"/>
      <c r="Q85" s="1124"/>
      <c r="R85" s="1124"/>
      <c r="S85" s="1124"/>
      <c r="T85" s="1124"/>
      <c r="U85" s="1171"/>
      <c r="V85" s="1172"/>
    </row>
    <row r="86" spans="1:22">
      <c r="A86" s="1153"/>
      <c r="B86" s="1176"/>
      <c r="C86" s="1133"/>
      <c r="D86" s="1133"/>
      <c r="E86" s="1133"/>
      <c r="F86" s="1178"/>
      <c r="G86" s="1178"/>
      <c r="H86" s="1178"/>
      <c r="I86" s="1178"/>
      <c r="J86" s="1134"/>
      <c r="K86" s="1134"/>
      <c r="L86" s="1164"/>
      <c r="M86" s="1166"/>
      <c r="N86" s="1124"/>
      <c r="O86" s="1138"/>
      <c r="P86" s="1124"/>
      <c r="Q86" s="1124"/>
      <c r="R86" s="1124"/>
      <c r="S86" s="1124"/>
      <c r="T86" s="1124"/>
      <c r="U86" s="1173"/>
      <c r="V86" s="1174"/>
    </row>
    <row r="87" spans="1:22">
      <c r="A87" s="1142"/>
      <c r="B87" s="1142" t="s">
        <v>162</v>
      </c>
      <c r="C87" s="1143"/>
      <c r="D87" s="1143"/>
      <c r="E87" s="1143"/>
      <c r="F87" s="1143"/>
      <c r="G87" s="1143"/>
      <c r="H87" s="1143"/>
      <c r="I87" s="1144"/>
      <c r="J87" s="1162"/>
      <c r="K87" s="1134"/>
      <c r="L87" s="1164"/>
      <c r="M87" s="1138" t="s">
        <v>155</v>
      </c>
      <c r="N87" s="1136">
        <f>SUM(P87:T90)</f>
        <v>0</v>
      </c>
      <c r="O87" s="1138" t="s">
        <v>144</v>
      </c>
      <c r="P87" s="1136">
        <v>0</v>
      </c>
      <c r="Q87" s="1136">
        <v>0</v>
      </c>
      <c r="R87" s="1136">
        <v>0</v>
      </c>
      <c r="S87" s="1136">
        <v>0</v>
      </c>
      <c r="T87" s="1136">
        <v>0</v>
      </c>
      <c r="U87" s="1120">
        <f>$P$8</f>
        <v>2012</v>
      </c>
      <c r="V87" s="1122">
        <f>P83</f>
        <v>100000</v>
      </c>
    </row>
    <row r="88" spans="1:22">
      <c r="A88" s="1142"/>
      <c r="B88" s="1145"/>
      <c r="C88" s="1146"/>
      <c r="D88" s="1146"/>
      <c r="E88" s="1146"/>
      <c r="F88" s="1146"/>
      <c r="G88" s="1146"/>
      <c r="H88" s="1146"/>
      <c r="I88" s="1147"/>
      <c r="J88" s="1162"/>
      <c r="K88" s="1134"/>
      <c r="L88" s="1164"/>
      <c r="M88" s="1138"/>
      <c r="N88" s="1136"/>
      <c r="O88" s="1138"/>
      <c r="P88" s="1136"/>
      <c r="Q88" s="1136"/>
      <c r="R88" s="1136"/>
      <c r="S88" s="1136"/>
      <c r="T88" s="1136"/>
      <c r="U88" s="1121"/>
      <c r="V88" s="1123"/>
    </row>
    <row r="89" spans="1:22">
      <c r="A89" s="1142"/>
      <c r="B89" s="1145"/>
      <c r="C89" s="1146"/>
      <c r="D89" s="1146"/>
      <c r="E89" s="1146"/>
      <c r="F89" s="1146"/>
      <c r="G89" s="1146"/>
      <c r="H89" s="1146"/>
      <c r="I89" s="1147"/>
      <c r="J89" s="1162"/>
      <c r="K89" s="1134"/>
      <c r="L89" s="1124"/>
      <c r="M89" s="1138"/>
      <c r="N89" s="1136"/>
      <c r="O89" s="1138"/>
      <c r="P89" s="1136"/>
      <c r="Q89" s="1136"/>
      <c r="R89" s="1136"/>
      <c r="S89" s="1136"/>
      <c r="T89" s="1136"/>
      <c r="U89" s="1126">
        <f>$Q$8</f>
        <v>2013</v>
      </c>
      <c r="V89" s="1123">
        <f>Q83</f>
        <v>500000</v>
      </c>
    </row>
    <row r="90" spans="1:22">
      <c r="A90" s="1142"/>
      <c r="B90" s="1148"/>
      <c r="C90" s="1149"/>
      <c r="D90" s="1149"/>
      <c r="E90" s="1149"/>
      <c r="F90" s="1149"/>
      <c r="G90" s="1149"/>
      <c r="H90" s="1149"/>
      <c r="I90" s="1150"/>
      <c r="J90" s="1162"/>
      <c r="K90" s="1134"/>
      <c r="L90" s="1124"/>
      <c r="M90" s="1138"/>
      <c r="N90" s="1151"/>
      <c r="O90" s="1138"/>
      <c r="P90" s="1151"/>
      <c r="Q90" s="1136"/>
      <c r="R90" s="1136"/>
      <c r="S90" s="1136"/>
      <c r="T90" s="1136"/>
      <c r="U90" s="1126"/>
      <c r="V90" s="1123"/>
    </row>
    <row r="91" spans="1:22">
      <c r="A91" s="1142"/>
      <c r="B91" s="1127" t="s">
        <v>388</v>
      </c>
      <c r="C91" s="1128"/>
      <c r="D91" s="1128"/>
      <c r="E91" s="1128"/>
      <c r="F91" s="1128"/>
      <c r="G91" s="1128"/>
      <c r="H91" s="1128"/>
      <c r="I91" s="1129"/>
      <c r="J91" s="1134"/>
      <c r="K91" s="1134"/>
      <c r="L91" s="1124"/>
      <c r="M91" s="1133" t="s">
        <v>156</v>
      </c>
      <c r="N91" s="1136">
        <f>SUM(P91:T94)</f>
        <v>600000</v>
      </c>
      <c r="O91" s="1138" t="s">
        <v>144</v>
      </c>
      <c r="P91" s="1136">
        <v>100000</v>
      </c>
      <c r="Q91" s="1136">
        <v>500000</v>
      </c>
      <c r="R91" s="1136">
        <v>0</v>
      </c>
      <c r="S91" s="1136">
        <v>0</v>
      </c>
      <c r="T91" s="1136">
        <v>0</v>
      </c>
      <c r="U91" s="1126">
        <f>$R$8</f>
        <v>2014</v>
      </c>
      <c r="V91" s="1123">
        <f>R83</f>
        <v>0</v>
      </c>
    </row>
    <row r="92" spans="1:22">
      <c r="A92" s="1142"/>
      <c r="B92" s="1127"/>
      <c r="C92" s="1128"/>
      <c r="D92" s="1128"/>
      <c r="E92" s="1128"/>
      <c r="F92" s="1128"/>
      <c r="G92" s="1128"/>
      <c r="H92" s="1128"/>
      <c r="I92" s="1129"/>
      <c r="J92" s="1134"/>
      <c r="K92" s="1134"/>
      <c r="L92" s="1124"/>
      <c r="M92" s="1134"/>
      <c r="N92" s="1136"/>
      <c r="O92" s="1138"/>
      <c r="P92" s="1136"/>
      <c r="Q92" s="1136"/>
      <c r="R92" s="1136"/>
      <c r="S92" s="1136"/>
      <c r="T92" s="1136"/>
      <c r="U92" s="1126"/>
      <c r="V92" s="1123"/>
    </row>
    <row r="93" spans="1:22">
      <c r="A93" s="1142"/>
      <c r="B93" s="1127"/>
      <c r="C93" s="1128"/>
      <c r="D93" s="1128"/>
      <c r="E93" s="1128"/>
      <c r="F93" s="1128"/>
      <c r="G93" s="1128"/>
      <c r="H93" s="1128"/>
      <c r="I93" s="1129"/>
      <c r="J93" s="1134"/>
      <c r="K93" s="1134"/>
      <c r="L93" s="1124"/>
      <c r="M93" s="1134"/>
      <c r="N93" s="1136"/>
      <c r="O93" s="1138"/>
      <c r="P93" s="1136"/>
      <c r="Q93" s="1136"/>
      <c r="R93" s="1136"/>
      <c r="S93" s="1136"/>
      <c r="T93" s="1136"/>
      <c r="U93" s="1126">
        <f>$S$8</f>
        <v>2015</v>
      </c>
      <c r="V93" s="1123">
        <f>S83</f>
        <v>0</v>
      </c>
    </row>
    <row r="94" spans="1:22" ht="13.5" thickBot="1">
      <c r="A94" s="1154"/>
      <c r="B94" s="1130"/>
      <c r="C94" s="1131"/>
      <c r="D94" s="1131"/>
      <c r="E94" s="1131"/>
      <c r="F94" s="1131"/>
      <c r="G94" s="1131"/>
      <c r="H94" s="1131"/>
      <c r="I94" s="1132"/>
      <c r="J94" s="1135"/>
      <c r="K94" s="1135"/>
      <c r="L94" s="1125"/>
      <c r="M94" s="1135"/>
      <c r="N94" s="1137"/>
      <c r="O94" s="1139"/>
      <c r="P94" s="1137"/>
      <c r="Q94" s="1137"/>
      <c r="R94" s="1137"/>
      <c r="S94" s="1137"/>
      <c r="T94" s="1137"/>
      <c r="U94" s="1140"/>
      <c r="V94" s="1141"/>
    </row>
    <row r="95" spans="1:22" ht="18.75" customHeight="1" thickTop="1" thickBot="1">
      <c r="A95" s="436"/>
      <c r="B95" s="304"/>
      <c r="C95" s="304"/>
      <c r="D95" s="304"/>
      <c r="E95" s="304"/>
      <c r="F95" s="304"/>
      <c r="G95" s="304"/>
      <c r="H95" s="304"/>
      <c r="I95" s="304"/>
      <c r="J95" s="301"/>
      <c r="K95" s="301"/>
      <c r="L95" s="300"/>
      <c r="M95" s="301"/>
      <c r="N95" s="437"/>
      <c r="O95" s="301"/>
      <c r="P95" s="437"/>
      <c r="Q95" s="437"/>
      <c r="R95" s="437"/>
      <c r="S95" s="437"/>
      <c r="T95" s="437"/>
      <c r="U95" s="437"/>
      <c r="V95" s="438"/>
    </row>
    <row r="96" spans="1:22" ht="13.5" thickTop="1">
      <c r="A96" s="1152">
        <v>7</v>
      </c>
      <c r="B96" s="1155" t="s">
        <v>133</v>
      </c>
      <c r="C96" s="1156"/>
      <c r="D96" s="1156">
        <v>926</v>
      </c>
      <c r="E96" s="1156"/>
      <c r="F96" s="1159" t="s">
        <v>163</v>
      </c>
      <c r="G96" s="1159"/>
      <c r="H96" s="1159"/>
      <c r="I96" s="1159"/>
      <c r="J96" s="1161">
        <v>2011</v>
      </c>
      <c r="K96" s="1161">
        <v>2013</v>
      </c>
      <c r="L96" s="1163">
        <f>SUM(N96,L102)</f>
        <v>1050000</v>
      </c>
      <c r="M96" s="1165" t="s">
        <v>152</v>
      </c>
      <c r="N96" s="1167">
        <f>IF(SUM(N100:N107)=U96,SUM(N100:N107),"wielbłąd")</f>
        <v>950000</v>
      </c>
      <c r="O96" s="1168" t="s">
        <v>144</v>
      </c>
      <c r="P96" s="1167">
        <f t="shared" ref="P96" si="6">SUM(P100:P107)</f>
        <v>350000</v>
      </c>
      <c r="Q96" s="1167">
        <f t="shared" ref="Q96:T96" si="7">SUM(Q100:Q107)</f>
        <v>600000</v>
      </c>
      <c r="R96" s="1167">
        <f t="shared" si="7"/>
        <v>0</v>
      </c>
      <c r="S96" s="1167">
        <f t="shared" si="7"/>
        <v>0</v>
      </c>
      <c r="T96" s="1167">
        <f t="shared" si="7"/>
        <v>0</v>
      </c>
      <c r="U96" s="1169">
        <f>SUM(V100:V107)</f>
        <v>950000</v>
      </c>
      <c r="V96" s="1170"/>
    </row>
    <row r="97" spans="1:22">
      <c r="A97" s="1153"/>
      <c r="B97" s="1157"/>
      <c r="C97" s="1158"/>
      <c r="D97" s="1158"/>
      <c r="E97" s="1158"/>
      <c r="F97" s="1160"/>
      <c r="G97" s="1160"/>
      <c r="H97" s="1160"/>
      <c r="I97" s="1160"/>
      <c r="J97" s="1134"/>
      <c r="K97" s="1134"/>
      <c r="L97" s="1164"/>
      <c r="M97" s="1166"/>
      <c r="N97" s="1124"/>
      <c r="O97" s="1138"/>
      <c r="P97" s="1124"/>
      <c r="Q97" s="1124"/>
      <c r="R97" s="1124"/>
      <c r="S97" s="1124"/>
      <c r="T97" s="1124"/>
      <c r="U97" s="1171"/>
      <c r="V97" s="1172"/>
    </row>
    <row r="98" spans="1:22">
      <c r="A98" s="1153"/>
      <c r="B98" s="1175" t="s">
        <v>139</v>
      </c>
      <c r="C98" s="1138"/>
      <c r="D98" s="1138">
        <v>92601</v>
      </c>
      <c r="E98" s="1138"/>
      <c r="F98" s="1160" t="s">
        <v>164</v>
      </c>
      <c r="G98" s="1160"/>
      <c r="H98" s="1160"/>
      <c r="I98" s="1160"/>
      <c r="J98" s="1134"/>
      <c r="K98" s="1134"/>
      <c r="L98" s="1164"/>
      <c r="M98" s="1166"/>
      <c r="N98" s="1124"/>
      <c r="O98" s="1138"/>
      <c r="P98" s="1124"/>
      <c r="Q98" s="1124"/>
      <c r="R98" s="1124"/>
      <c r="S98" s="1124"/>
      <c r="T98" s="1124"/>
      <c r="U98" s="1171"/>
      <c r="V98" s="1172"/>
    </row>
    <row r="99" spans="1:22">
      <c r="A99" s="1153"/>
      <c r="B99" s="1176"/>
      <c r="C99" s="1133"/>
      <c r="D99" s="1133"/>
      <c r="E99" s="1133"/>
      <c r="F99" s="1179"/>
      <c r="G99" s="1179"/>
      <c r="H99" s="1179"/>
      <c r="I99" s="1179"/>
      <c r="J99" s="1134"/>
      <c r="K99" s="1134"/>
      <c r="L99" s="1164"/>
      <c r="M99" s="1166"/>
      <c r="N99" s="1124"/>
      <c r="O99" s="1138"/>
      <c r="P99" s="1124"/>
      <c r="Q99" s="1124"/>
      <c r="R99" s="1124"/>
      <c r="S99" s="1124"/>
      <c r="T99" s="1124"/>
      <c r="U99" s="1173"/>
      <c r="V99" s="1174"/>
    </row>
    <row r="100" spans="1:22">
      <c r="A100" s="1142"/>
      <c r="B100" s="1142" t="s">
        <v>165</v>
      </c>
      <c r="C100" s="1143"/>
      <c r="D100" s="1143"/>
      <c r="E100" s="1143"/>
      <c r="F100" s="1143"/>
      <c r="G100" s="1143"/>
      <c r="H100" s="1143"/>
      <c r="I100" s="1144"/>
      <c r="J100" s="1162"/>
      <c r="K100" s="1134"/>
      <c r="L100" s="1164"/>
      <c r="M100" s="1138" t="s">
        <v>155</v>
      </c>
      <c r="N100" s="1136">
        <f>SUM(P100:T103)</f>
        <v>807500</v>
      </c>
      <c r="O100" s="1138" t="s">
        <v>144</v>
      </c>
      <c r="P100" s="1151">
        <v>307500</v>
      </c>
      <c r="Q100" s="1151">
        <v>500000</v>
      </c>
      <c r="R100" s="1136">
        <v>0</v>
      </c>
      <c r="S100" s="1136">
        <v>0</v>
      </c>
      <c r="T100" s="1136">
        <v>0</v>
      </c>
      <c r="U100" s="1120">
        <f>$P$8</f>
        <v>2012</v>
      </c>
      <c r="V100" s="1122">
        <f>P96</f>
        <v>350000</v>
      </c>
    </row>
    <row r="101" spans="1:22">
      <c r="A101" s="1142"/>
      <c r="B101" s="1145"/>
      <c r="C101" s="1146"/>
      <c r="D101" s="1146"/>
      <c r="E101" s="1146"/>
      <c r="F101" s="1146"/>
      <c r="G101" s="1146"/>
      <c r="H101" s="1146"/>
      <c r="I101" s="1147"/>
      <c r="J101" s="1162"/>
      <c r="K101" s="1134"/>
      <c r="L101" s="1164"/>
      <c r="M101" s="1138"/>
      <c r="N101" s="1136"/>
      <c r="O101" s="1138"/>
      <c r="P101" s="1180"/>
      <c r="Q101" s="1180"/>
      <c r="R101" s="1136"/>
      <c r="S101" s="1136"/>
      <c r="T101" s="1136"/>
      <c r="U101" s="1121"/>
      <c r="V101" s="1123"/>
    </row>
    <row r="102" spans="1:22">
      <c r="A102" s="1142"/>
      <c r="B102" s="1145"/>
      <c r="C102" s="1146"/>
      <c r="D102" s="1146"/>
      <c r="E102" s="1146"/>
      <c r="F102" s="1146"/>
      <c r="G102" s="1146"/>
      <c r="H102" s="1146"/>
      <c r="I102" s="1147"/>
      <c r="J102" s="1162"/>
      <c r="K102" s="1134"/>
      <c r="L102" s="1124">
        <v>100000</v>
      </c>
      <c r="M102" s="1138"/>
      <c r="N102" s="1136"/>
      <c r="O102" s="1138"/>
      <c r="P102" s="1180"/>
      <c r="Q102" s="1180"/>
      <c r="R102" s="1136"/>
      <c r="S102" s="1136"/>
      <c r="T102" s="1136"/>
      <c r="U102" s="1126">
        <f>$Q$8</f>
        <v>2013</v>
      </c>
      <c r="V102" s="1123">
        <f>Q96</f>
        <v>600000</v>
      </c>
    </row>
    <row r="103" spans="1:22">
      <c r="A103" s="1142"/>
      <c r="B103" s="1148"/>
      <c r="C103" s="1149"/>
      <c r="D103" s="1149"/>
      <c r="E103" s="1149"/>
      <c r="F103" s="1149"/>
      <c r="G103" s="1149"/>
      <c r="H103" s="1149"/>
      <c r="I103" s="1150"/>
      <c r="J103" s="1162"/>
      <c r="K103" s="1134"/>
      <c r="L103" s="1124"/>
      <c r="M103" s="1138"/>
      <c r="N103" s="1151"/>
      <c r="O103" s="1138"/>
      <c r="P103" s="1181"/>
      <c r="Q103" s="1181"/>
      <c r="R103" s="1136"/>
      <c r="S103" s="1136"/>
      <c r="T103" s="1136"/>
      <c r="U103" s="1126"/>
      <c r="V103" s="1123"/>
    </row>
    <row r="104" spans="1:22">
      <c r="A104" s="1142"/>
      <c r="B104" s="1127" t="s">
        <v>387</v>
      </c>
      <c r="C104" s="1128"/>
      <c r="D104" s="1128"/>
      <c r="E104" s="1128"/>
      <c r="F104" s="1128"/>
      <c r="G104" s="1128"/>
      <c r="H104" s="1128"/>
      <c r="I104" s="1129"/>
      <c r="J104" s="1134"/>
      <c r="K104" s="1134"/>
      <c r="L104" s="1124"/>
      <c r="M104" s="1133" t="s">
        <v>156</v>
      </c>
      <c r="N104" s="1136">
        <f>SUM(P104:T107)</f>
        <v>142500</v>
      </c>
      <c r="O104" s="1138" t="s">
        <v>144</v>
      </c>
      <c r="P104" s="1151">
        <v>42500</v>
      </c>
      <c r="Q104" s="1151">
        <v>100000</v>
      </c>
      <c r="R104" s="1136">
        <v>0</v>
      </c>
      <c r="S104" s="1136">
        <v>0</v>
      </c>
      <c r="T104" s="1136">
        <v>0</v>
      </c>
      <c r="U104" s="1126">
        <f>$R$8</f>
        <v>2014</v>
      </c>
      <c r="V104" s="1123">
        <f>R96</f>
        <v>0</v>
      </c>
    </row>
    <row r="105" spans="1:22">
      <c r="A105" s="1142"/>
      <c r="B105" s="1127"/>
      <c r="C105" s="1128"/>
      <c r="D105" s="1128"/>
      <c r="E105" s="1128"/>
      <c r="F105" s="1128"/>
      <c r="G105" s="1128"/>
      <c r="H105" s="1128"/>
      <c r="I105" s="1129"/>
      <c r="J105" s="1134"/>
      <c r="K105" s="1134"/>
      <c r="L105" s="1124"/>
      <c r="M105" s="1134"/>
      <c r="N105" s="1136"/>
      <c r="O105" s="1138"/>
      <c r="P105" s="1180"/>
      <c r="Q105" s="1180"/>
      <c r="R105" s="1136"/>
      <c r="S105" s="1136"/>
      <c r="T105" s="1136"/>
      <c r="U105" s="1126"/>
      <c r="V105" s="1123"/>
    </row>
    <row r="106" spans="1:22">
      <c r="A106" s="1142"/>
      <c r="B106" s="1127"/>
      <c r="C106" s="1128"/>
      <c r="D106" s="1128"/>
      <c r="E106" s="1128"/>
      <c r="F106" s="1128"/>
      <c r="G106" s="1128"/>
      <c r="H106" s="1128"/>
      <c r="I106" s="1129"/>
      <c r="J106" s="1134"/>
      <c r="K106" s="1134"/>
      <c r="L106" s="1124"/>
      <c r="M106" s="1134"/>
      <c r="N106" s="1136"/>
      <c r="O106" s="1138"/>
      <c r="P106" s="1180"/>
      <c r="Q106" s="1180"/>
      <c r="R106" s="1136"/>
      <c r="S106" s="1136"/>
      <c r="T106" s="1136"/>
      <c r="U106" s="1126">
        <f>$S$8</f>
        <v>2015</v>
      </c>
      <c r="V106" s="1123">
        <f>S96</f>
        <v>0</v>
      </c>
    </row>
    <row r="107" spans="1:22" ht="13.5" thickBot="1">
      <c r="A107" s="1154"/>
      <c r="B107" s="1130"/>
      <c r="C107" s="1131"/>
      <c r="D107" s="1131"/>
      <c r="E107" s="1131"/>
      <c r="F107" s="1131"/>
      <c r="G107" s="1131"/>
      <c r="H107" s="1131"/>
      <c r="I107" s="1132"/>
      <c r="J107" s="1135"/>
      <c r="K107" s="1135"/>
      <c r="L107" s="1125"/>
      <c r="M107" s="1135"/>
      <c r="N107" s="1137"/>
      <c r="O107" s="1139"/>
      <c r="P107" s="1182"/>
      <c r="Q107" s="1182"/>
      <c r="R107" s="1137"/>
      <c r="S107" s="1137"/>
      <c r="T107" s="1137"/>
      <c r="U107" s="1140"/>
      <c r="V107" s="1141"/>
    </row>
    <row r="108" spans="1:22" ht="19.5" customHeight="1" thickTop="1" thickBot="1">
      <c r="A108" s="436"/>
      <c r="B108" s="304"/>
      <c r="C108" s="304"/>
      <c r="D108" s="304"/>
      <c r="E108" s="304"/>
      <c r="F108" s="304"/>
      <c r="G108" s="304"/>
      <c r="H108" s="304"/>
      <c r="I108" s="304"/>
      <c r="J108" s="301"/>
      <c r="K108" s="301"/>
      <c r="L108" s="300"/>
      <c r="M108" s="301"/>
      <c r="N108" s="437"/>
      <c r="O108" s="301"/>
      <c r="P108" s="437"/>
      <c r="Q108" s="437"/>
      <c r="R108" s="437"/>
      <c r="S108" s="437"/>
      <c r="T108" s="437"/>
      <c r="U108" s="437"/>
      <c r="V108" s="438"/>
    </row>
    <row r="109" spans="1:22" ht="13.5" thickTop="1">
      <c r="A109" s="1152">
        <v>8</v>
      </c>
      <c r="B109" s="1155" t="s">
        <v>133</v>
      </c>
      <c r="C109" s="1156"/>
      <c r="D109" s="1156">
        <v>720</v>
      </c>
      <c r="E109" s="1156"/>
      <c r="F109" s="1159" t="s">
        <v>166</v>
      </c>
      <c r="G109" s="1159"/>
      <c r="H109" s="1159"/>
      <c r="I109" s="1159"/>
      <c r="J109" s="1161">
        <v>2010</v>
      </c>
      <c r="K109" s="1161">
        <v>2013</v>
      </c>
      <c r="L109" s="1163">
        <f>SUM(N109,L115)</f>
        <v>11603</v>
      </c>
      <c r="M109" s="1165" t="s">
        <v>152</v>
      </c>
      <c r="N109" s="1167">
        <f>IF(SUM(N113:N120)=U109,SUM(N113:N120),"wielbłąd")</f>
        <v>10500</v>
      </c>
      <c r="O109" s="1168" t="s">
        <v>144</v>
      </c>
      <c r="P109" s="1167">
        <f>SUM(P113:P120)</f>
        <v>5300</v>
      </c>
      <c r="Q109" s="1167">
        <f>SUM(Q113:Q120)</f>
        <v>5200</v>
      </c>
      <c r="R109" s="1167">
        <f t="shared" ref="R109:T109" si="8">SUM(R113:R120)</f>
        <v>0</v>
      </c>
      <c r="S109" s="1167">
        <f t="shared" si="8"/>
        <v>0</v>
      </c>
      <c r="T109" s="1167">
        <f t="shared" si="8"/>
        <v>0</v>
      </c>
      <c r="U109" s="1169">
        <f>SUM(V113:V120)</f>
        <v>10500</v>
      </c>
      <c r="V109" s="1170"/>
    </row>
    <row r="110" spans="1:22">
      <c r="A110" s="1153"/>
      <c r="B110" s="1157"/>
      <c r="C110" s="1158"/>
      <c r="D110" s="1158"/>
      <c r="E110" s="1158"/>
      <c r="F110" s="1160"/>
      <c r="G110" s="1160"/>
      <c r="H110" s="1160"/>
      <c r="I110" s="1160"/>
      <c r="J110" s="1134"/>
      <c r="K110" s="1134"/>
      <c r="L110" s="1164"/>
      <c r="M110" s="1166"/>
      <c r="N110" s="1124"/>
      <c r="O110" s="1138"/>
      <c r="P110" s="1124"/>
      <c r="Q110" s="1124"/>
      <c r="R110" s="1124"/>
      <c r="S110" s="1124"/>
      <c r="T110" s="1124"/>
      <c r="U110" s="1171"/>
      <c r="V110" s="1172"/>
    </row>
    <row r="111" spans="1:22">
      <c r="A111" s="1153"/>
      <c r="B111" s="1175" t="s">
        <v>139</v>
      </c>
      <c r="C111" s="1138"/>
      <c r="D111" s="1138">
        <v>72095</v>
      </c>
      <c r="E111" s="1138"/>
      <c r="F111" s="1160" t="s">
        <v>167</v>
      </c>
      <c r="G111" s="1160"/>
      <c r="H111" s="1160"/>
      <c r="I111" s="1160"/>
      <c r="J111" s="1134"/>
      <c r="K111" s="1134"/>
      <c r="L111" s="1164"/>
      <c r="M111" s="1166"/>
      <c r="N111" s="1124"/>
      <c r="O111" s="1138"/>
      <c r="P111" s="1124"/>
      <c r="Q111" s="1124"/>
      <c r="R111" s="1124"/>
      <c r="S111" s="1124"/>
      <c r="T111" s="1124"/>
      <c r="U111" s="1171"/>
      <c r="V111" s="1172"/>
    </row>
    <row r="112" spans="1:22">
      <c r="A112" s="1153"/>
      <c r="B112" s="1176"/>
      <c r="C112" s="1133"/>
      <c r="D112" s="1133"/>
      <c r="E112" s="1133"/>
      <c r="F112" s="1179"/>
      <c r="G112" s="1179"/>
      <c r="H112" s="1179"/>
      <c r="I112" s="1179"/>
      <c r="J112" s="1134"/>
      <c r="K112" s="1134"/>
      <c r="L112" s="1164"/>
      <c r="M112" s="1166"/>
      <c r="N112" s="1124"/>
      <c r="O112" s="1138"/>
      <c r="P112" s="1124"/>
      <c r="Q112" s="1124"/>
      <c r="R112" s="1124"/>
      <c r="S112" s="1124"/>
      <c r="T112" s="1124"/>
      <c r="U112" s="1173"/>
      <c r="V112" s="1174"/>
    </row>
    <row r="113" spans="1:22">
      <c r="A113" s="1142"/>
      <c r="B113" s="1142" t="s">
        <v>168</v>
      </c>
      <c r="C113" s="1143"/>
      <c r="D113" s="1143"/>
      <c r="E113" s="1143"/>
      <c r="F113" s="1143"/>
      <c r="G113" s="1143"/>
      <c r="H113" s="1143"/>
      <c r="I113" s="1144"/>
      <c r="J113" s="1162"/>
      <c r="K113" s="1134"/>
      <c r="L113" s="1164"/>
      <c r="M113" s="1138" t="s">
        <v>155</v>
      </c>
      <c r="N113" s="1136">
        <f>SUM(P113:T116)</f>
        <v>10500</v>
      </c>
      <c r="O113" s="1138" t="s">
        <v>144</v>
      </c>
      <c r="P113" s="1151">
        <v>5300</v>
      </c>
      <c r="Q113" s="1151">
        <v>5200</v>
      </c>
      <c r="R113" s="1136">
        <v>0</v>
      </c>
      <c r="S113" s="1136">
        <v>0</v>
      </c>
      <c r="T113" s="1136">
        <v>0</v>
      </c>
      <c r="U113" s="1120">
        <f>$P$8</f>
        <v>2012</v>
      </c>
      <c r="V113" s="1122">
        <f>P109</f>
        <v>5300</v>
      </c>
    </row>
    <row r="114" spans="1:22">
      <c r="A114" s="1142"/>
      <c r="B114" s="1145"/>
      <c r="C114" s="1146"/>
      <c r="D114" s="1146"/>
      <c r="E114" s="1146"/>
      <c r="F114" s="1146"/>
      <c r="G114" s="1146"/>
      <c r="H114" s="1146"/>
      <c r="I114" s="1147"/>
      <c r="J114" s="1162"/>
      <c r="K114" s="1134"/>
      <c r="L114" s="1164"/>
      <c r="M114" s="1138"/>
      <c r="N114" s="1136"/>
      <c r="O114" s="1138"/>
      <c r="P114" s="1180"/>
      <c r="Q114" s="1180"/>
      <c r="R114" s="1136"/>
      <c r="S114" s="1136"/>
      <c r="T114" s="1136"/>
      <c r="U114" s="1121"/>
      <c r="V114" s="1123"/>
    </row>
    <row r="115" spans="1:22">
      <c r="A115" s="1142"/>
      <c r="B115" s="1145"/>
      <c r="C115" s="1146"/>
      <c r="D115" s="1146"/>
      <c r="E115" s="1146"/>
      <c r="F115" s="1146"/>
      <c r="G115" s="1146"/>
      <c r="H115" s="1146"/>
      <c r="I115" s="1147"/>
      <c r="J115" s="1162"/>
      <c r="K115" s="1134"/>
      <c r="L115" s="1124">
        <v>1103</v>
      </c>
      <c r="M115" s="1138"/>
      <c r="N115" s="1136"/>
      <c r="O115" s="1138"/>
      <c r="P115" s="1180"/>
      <c r="Q115" s="1180"/>
      <c r="R115" s="1136"/>
      <c r="S115" s="1136"/>
      <c r="T115" s="1136"/>
      <c r="U115" s="1126">
        <f>$Q$8</f>
        <v>2013</v>
      </c>
      <c r="V115" s="1123">
        <f>Q109</f>
        <v>5200</v>
      </c>
    </row>
    <row r="116" spans="1:22">
      <c r="A116" s="1142"/>
      <c r="B116" s="1148"/>
      <c r="C116" s="1149"/>
      <c r="D116" s="1149"/>
      <c r="E116" s="1149"/>
      <c r="F116" s="1149"/>
      <c r="G116" s="1149"/>
      <c r="H116" s="1149"/>
      <c r="I116" s="1150"/>
      <c r="J116" s="1162"/>
      <c r="K116" s="1134"/>
      <c r="L116" s="1124"/>
      <c r="M116" s="1138"/>
      <c r="N116" s="1151"/>
      <c r="O116" s="1138"/>
      <c r="P116" s="1181"/>
      <c r="Q116" s="1181"/>
      <c r="R116" s="1136"/>
      <c r="S116" s="1136"/>
      <c r="T116" s="1136"/>
      <c r="U116" s="1126"/>
      <c r="V116" s="1123"/>
    </row>
    <row r="117" spans="1:22">
      <c r="A117" s="1142"/>
      <c r="B117" s="1127" t="s">
        <v>386</v>
      </c>
      <c r="C117" s="1128"/>
      <c r="D117" s="1128"/>
      <c r="E117" s="1128"/>
      <c r="F117" s="1128"/>
      <c r="G117" s="1128"/>
      <c r="H117" s="1128"/>
      <c r="I117" s="1129"/>
      <c r="J117" s="1134"/>
      <c r="K117" s="1134"/>
      <c r="L117" s="1124"/>
      <c r="M117" s="1133" t="s">
        <v>156</v>
      </c>
      <c r="N117" s="1136">
        <f>SUM(P117:T120)</f>
        <v>0</v>
      </c>
      <c r="O117" s="1138" t="s">
        <v>144</v>
      </c>
      <c r="P117" s="1151">
        <v>0</v>
      </c>
      <c r="Q117" s="1151">
        <v>0</v>
      </c>
      <c r="R117" s="1136">
        <v>0</v>
      </c>
      <c r="S117" s="1136">
        <v>0</v>
      </c>
      <c r="T117" s="1136">
        <v>0</v>
      </c>
      <c r="U117" s="1126">
        <f>$R$8</f>
        <v>2014</v>
      </c>
      <c r="V117" s="1123">
        <f>R109</f>
        <v>0</v>
      </c>
    </row>
    <row r="118" spans="1:22">
      <c r="A118" s="1142"/>
      <c r="B118" s="1127"/>
      <c r="C118" s="1128"/>
      <c r="D118" s="1128"/>
      <c r="E118" s="1128"/>
      <c r="F118" s="1128"/>
      <c r="G118" s="1128"/>
      <c r="H118" s="1128"/>
      <c r="I118" s="1129"/>
      <c r="J118" s="1134"/>
      <c r="K118" s="1134"/>
      <c r="L118" s="1124"/>
      <c r="M118" s="1134"/>
      <c r="N118" s="1136"/>
      <c r="O118" s="1138"/>
      <c r="P118" s="1180"/>
      <c r="Q118" s="1180"/>
      <c r="R118" s="1136"/>
      <c r="S118" s="1136"/>
      <c r="T118" s="1136"/>
      <c r="U118" s="1126"/>
      <c r="V118" s="1123"/>
    </row>
    <row r="119" spans="1:22">
      <c r="A119" s="1142"/>
      <c r="B119" s="1127"/>
      <c r="C119" s="1128"/>
      <c r="D119" s="1128"/>
      <c r="E119" s="1128"/>
      <c r="F119" s="1128"/>
      <c r="G119" s="1128"/>
      <c r="H119" s="1128"/>
      <c r="I119" s="1129"/>
      <c r="J119" s="1134"/>
      <c r="K119" s="1134"/>
      <c r="L119" s="1124"/>
      <c r="M119" s="1134"/>
      <c r="N119" s="1136"/>
      <c r="O119" s="1138"/>
      <c r="P119" s="1180"/>
      <c r="Q119" s="1180"/>
      <c r="R119" s="1136"/>
      <c r="S119" s="1136"/>
      <c r="T119" s="1136"/>
      <c r="U119" s="1126">
        <f>$S$8</f>
        <v>2015</v>
      </c>
      <c r="V119" s="1123">
        <f>S109</f>
        <v>0</v>
      </c>
    </row>
    <row r="120" spans="1:22" ht="13.5" thickBot="1">
      <c r="A120" s="1154"/>
      <c r="B120" s="1130"/>
      <c r="C120" s="1131"/>
      <c r="D120" s="1131"/>
      <c r="E120" s="1131"/>
      <c r="F120" s="1131"/>
      <c r="G120" s="1131"/>
      <c r="H120" s="1131"/>
      <c r="I120" s="1132"/>
      <c r="J120" s="1135"/>
      <c r="K120" s="1135"/>
      <c r="L120" s="1125"/>
      <c r="M120" s="1135"/>
      <c r="N120" s="1137"/>
      <c r="O120" s="1139"/>
      <c r="P120" s="1182"/>
      <c r="Q120" s="1182"/>
      <c r="R120" s="1137"/>
      <c r="S120" s="1137"/>
      <c r="T120" s="1137"/>
      <c r="U120" s="1140"/>
      <c r="V120" s="1141"/>
    </row>
    <row r="121" spans="1:22" ht="19.5" customHeight="1" thickTop="1" thickBot="1">
      <c r="A121" s="436"/>
      <c r="B121" s="304"/>
      <c r="C121" s="304"/>
      <c r="D121" s="304"/>
      <c r="E121" s="304"/>
      <c r="F121" s="304"/>
      <c r="G121" s="304"/>
      <c r="H121" s="304"/>
      <c r="I121" s="304"/>
      <c r="J121" s="301"/>
      <c r="K121" s="301"/>
      <c r="L121" s="300"/>
      <c r="M121" s="301"/>
      <c r="N121" s="437"/>
      <c r="O121" s="301"/>
      <c r="P121" s="437"/>
      <c r="Q121" s="437"/>
      <c r="R121" s="437"/>
      <c r="S121" s="437"/>
      <c r="T121" s="437"/>
      <c r="U121" s="444"/>
      <c r="V121" s="438"/>
    </row>
    <row r="122" spans="1:22" ht="13.5" thickTop="1">
      <c r="A122" s="1152">
        <v>9</v>
      </c>
      <c r="B122" s="1155" t="s">
        <v>133</v>
      </c>
      <c r="C122" s="1156"/>
      <c r="D122" s="1156">
        <v>750</v>
      </c>
      <c r="E122" s="1156"/>
      <c r="F122" s="1159" t="s">
        <v>169</v>
      </c>
      <c r="G122" s="1159"/>
      <c r="H122" s="1159"/>
      <c r="I122" s="1159"/>
      <c r="J122" s="1161">
        <v>2012</v>
      </c>
      <c r="K122" s="1161">
        <v>2013</v>
      </c>
      <c r="L122" s="1163">
        <f>SUM(N122,L128)</f>
        <v>447150</v>
      </c>
      <c r="M122" s="1165" t="s">
        <v>152</v>
      </c>
      <c r="N122" s="1167">
        <f>IF(SUM(N126:N133)=U122,SUM(N126:N133),"wielbłąd")</f>
        <v>447150</v>
      </c>
      <c r="O122" s="1168" t="s">
        <v>144</v>
      </c>
      <c r="P122" s="1167">
        <f>SUM(P126:P133)</f>
        <v>178860</v>
      </c>
      <c r="Q122" s="1167">
        <f t="shared" ref="Q122:T122" si="9">SUM(Q126:Q133)</f>
        <v>268290</v>
      </c>
      <c r="R122" s="1167">
        <f t="shared" si="9"/>
        <v>0</v>
      </c>
      <c r="S122" s="1167">
        <f t="shared" si="9"/>
        <v>0</v>
      </c>
      <c r="T122" s="1167">
        <f t="shared" si="9"/>
        <v>0</v>
      </c>
      <c r="U122" s="1169">
        <f>SUM(V126:V133)</f>
        <v>447150</v>
      </c>
      <c r="V122" s="1170"/>
    </row>
    <row r="123" spans="1:22">
      <c r="A123" s="1153"/>
      <c r="B123" s="1157"/>
      <c r="C123" s="1158"/>
      <c r="D123" s="1158"/>
      <c r="E123" s="1158"/>
      <c r="F123" s="1160"/>
      <c r="G123" s="1160"/>
      <c r="H123" s="1160"/>
      <c r="I123" s="1160"/>
      <c r="J123" s="1134"/>
      <c r="K123" s="1134"/>
      <c r="L123" s="1164"/>
      <c r="M123" s="1166"/>
      <c r="N123" s="1124"/>
      <c r="O123" s="1138"/>
      <c r="P123" s="1124"/>
      <c r="Q123" s="1124"/>
      <c r="R123" s="1124"/>
      <c r="S123" s="1124"/>
      <c r="T123" s="1124"/>
      <c r="U123" s="1171"/>
      <c r="V123" s="1172"/>
    </row>
    <row r="124" spans="1:22">
      <c r="A124" s="1153"/>
      <c r="B124" s="1175" t="s">
        <v>139</v>
      </c>
      <c r="C124" s="1138"/>
      <c r="D124" s="1138">
        <v>75023</v>
      </c>
      <c r="E124" s="1138"/>
      <c r="F124" s="1160" t="s">
        <v>170</v>
      </c>
      <c r="G124" s="1160"/>
      <c r="H124" s="1160"/>
      <c r="I124" s="1160"/>
      <c r="J124" s="1134"/>
      <c r="K124" s="1134"/>
      <c r="L124" s="1164"/>
      <c r="M124" s="1166"/>
      <c r="N124" s="1124"/>
      <c r="O124" s="1138"/>
      <c r="P124" s="1124"/>
      <c r="Q124" s="1124"/>
      <c r="R124" s="1124"/>
      <c r="S124" s="1124"/>
      <c r="T124" s="1124"/>
      <c r="U124" s="1171"/>
      <c r="V124" s="1172"/>
    </row>
    <row r="125" spans="1:22">
      <c r="A125" s="1153"/>
      <c r="B125" s="1176"/>
      <c r="C125" s="1133"/>
      <c r="D125" s="1133"/>
      <c r="E125" s="1133"/>
      <c r="F125" s="1179"/>
      <c r="G125" s="1179"/>
      <c r="H125" s="1179"/>
      <c r="I125" s="1179"/>
      <c r="J125" s="1134"/>
      <c r="K125" s="1134"/>
      <c r="L125" s="1164"/>
      <c r="M125" s="1166"/>
      <c r="N125" s="1124"/>
      <c r="O125" s="1138"/>
      <c r="P125" s="1124"/>
      <c r="Q125" s="1124"/>
      <c r="R125" s="1124"/>
      <c r="S125" s="1124"/>
      <c r="T125" s="1124"/>
      <c r="U125" s="1173"/>
      <c r="V125" s="1174"/>
    </row>
    <row r="126" spans="1:22">
      <c r="A126" s="1142"/>
      <c r="B126" s="1142" t="s">
        <v>171</v>
      </c>
      <c r="C126" s="1143"/>
      <c r="D126" s="1143"/>
      <c r="E126" s="1143"/>
      <c r="F126" s="1143"/>
      <c r="G126" s="1143"/>
      <c r="H126" s="1143"/>
      <c r="I126" s="1144"/>
      <c r="J126" s="1162"/>
      <c r="K126" s="1134"/>
      <c r="L126" s="1164"/>
      <c r="M126" s="1138" t="s">
        <v>155</v>
      </c>
      <c r="N126" s="1136">
        <f>SUM(P126:T129)</f>
        <v>0</v>
      </c>
      <c r="O126" s="1138" t="s">
        <v>144</v>
      </c>
      <c r="P126" s="1151">
        <v>0</v>
      </c>
      <c r="Q126" s="1151">
        <v>0</v>
      </c>
      <c r="R126" s="1136">
        <v>0</v>
      </c>
      <c r="S126" s="1136">
        <v>0</v>
      </c>
      <c r="T126" s="1136">
        <v>0</v>
      </c>
      <c r="U126" s="1120">
        <f>$P$8</f>
        <v>2012</v>
      </c>
      <c r="V126" s="1122">
        <f>P122</f>
        <v>178860</v>
      </c>
    </row>
    <row r="127" spans="1:22">
      <c r="A127" s="1142"/>
      <c r="B127" s="1145"/>
      <c r="C127" s="1146"/>
      <c r="D127" s="1146"/>
      <c r="E127" s="1146"/>
      <c r="F127" s="1146"/>
      <c r="G127" s="1146"/>
      <c r="H127" s="1146"/>
      <c r="I127" s="1147"/>
      <c r="J127" s="1162"/>
      <c r="K127" s="1134"/>
      <c r="L127" s="1164"/>
      <c r="M127" s="1138"/>
      <c r="N127" s="1136"/>
      <c r="O127" s="1138"/>
      <c r="P127" s="1180"/>
      <c r="Q127" s="1180"/>
      <c r="R127" s="1136"/>
      <c r="S127" s="1136"/>
      <c r="T127" s="1136"/>
      <c r="U127" s="1121"/>
      <c r="V127" s="1123"/>
    </row>
    <row r="128" spans="1:22">
      <c r="A128" s="1142"/>
      <c r="B128" s="1145"/>
      <c r="C128" s="1146"/>
      <c r="D128" s="1146"/>
      <c r="E128" s="1146"/>
      <c r="F128" s="1146"/>
      <c r="G128" s="1146"/>
      <c r="H128" s="1146"/>
      <c r="I128" s="1147"/>
      <c r="J128" s="1162"/>
      <c r="K128" s="1134"/>
      <c r="L128" s="1124">
        <v>0</v>
      </c>
      <c r="M128" s="1138"/>
      <c r="N128" s="1136"/>
      <c r="O128" s="1138"/>
      <c r="P128" s="1180"/>
      <c r="Q128" s="1180"/>
      <c r="R128" s="1136"/>
      <c r="S128" s="1136"/>
      <c r="T128" s="1136"/>
      <c r="U128" s="1126">
        <f>$Q$8</f>
        <v>2013</v>
      </c>
      <c r="V128" s="1123">
        <f>Q122</f>
        <v>268290</v>
      </c>
    </row>
    <row r="129" spans="1:22">
      <c r="A129" s="1142"/>
      <c r="B129" s="1148"/>
      <c r="C129" s="1149"/>
      <c r="D129" s="1149"/>
      <c r="E129" s="1149"/>
      <c r="F129" s="1149"/>
      <c r="G129" s="1149"/>
      <c r="H129" s="1149"/>
      <c r="I129" s="1150"/>
      <c r="J129" s="1162"/>
      <c r="K129" s="1134"/>
      <c r="L129" s="1124"/>
      <c r="M129" s="1138"/>
      <c r="N129" s="1151"/>
      <c r="O129" s="1138"/>
      <c r="P129" s="1181"/>
      <c r="Q129" s="1181"/>
      <c r="R129" s="1136"/>
      <c r="S129" s="1136"/>
      <c r="T129" s="1136"/>
      <c r="U129" s="1126"/>
      <c r="V129" s="1123"/>
    </row>
    <row r="130" spans="1:22">
      <c r="A130" s="1142"/>
      <c r="B130" s="1127" t="s">
        <v>385</v>
      </c>
      <c r="C130" s="1128"/>
      <c r="D130" s="1128"/>
      <c r="E130" s="1128"/>
      <c r="F130" s="1128"/>
      <c r="G130" s="1128"/>
      <c r="H130" s="1128"/>
      <c r="I130" s="1129"/>
      <c r="J130" s="1134"/>
      <c r="K130" s="1134"/>
      <c r="L130" s="1124"/>
      <c r="M130" s="1133" t="s">
        <v>156</v>
      </c>
      <c r="N130" s="1136">
        <f>SUM(P130:T133)</f>
        <v>447150</v>
      </c>
      <c r="O130" s="1138" t="s">
        <v>144</v>
      </c>
      <c r="P130" s="1151">
        <v>178860</v>
      </c>
      <c r="Q130" s="1151">
        <v>268290</v>
      </c>
      <c r="R130" s="1136">
        <v>0</v>
      </c>
      <c r="S130" s="1136">
        <v>0</v>
      </c>
      <c r="T130" s="1136">
        <v>0</v>
      </c>
      <c r="U130" s="1126">
        <f>$R$8</f>
        <v>2014</v>
      </c>
      <c r="V130" s="1123">
        <f>R122</f>
        <v>0</v>
      </c>
    </row>
    <row r="131" spans="1:22">
      <c r="A131" s="1142"/>
      <c r="B131" s="1127"/>
      <c r="C131" s="1128"/>
      <c r="D131" s="1128"/>
      <c r="E131" s="1128"/>
      <c r="F131" s="1128"/>
      <c r="G131" s="1128"/>
      <c r="H131" s="1128"/>
      <c r="I131" s="1129"/>
      <c r="J131" s="1134"/>
      <c r="K131" s="1134"/>
      <c r="L131" s="1124"/>
      <c r="M131" s="1134"/>
      <c r="N131" s="1136"/>
      <c r="O131" s="1138"/>
      <c r="P131" s="1180"/>
      <c r="Q131" s="1180"/>
      <c r="R131" s="1136"/>
      <c r="S131" s="1136"/>
      <c r="T131" s="1136"/>
      <c r="U131" s="1126"/>
      <c r="V131" s="1123"/>
    </row>
    <row r="132" spans="1:22">
      <c r="A132" s="1142"/>
      <c r="B132" s="1127"/>
      <c r="C132" s="1128"/>
      <c r="D132" s="1128"/>
      <c r="E132" s="1128"/>
      <c r="F132" s="1128"/>
      <c r="G132" s="1128"/>
      <c r="H132" s="1128"/>
      <c r="I132" s="1129"/>
      <c r="J132" s="1134"/>
      <c r="K132" s="1134"/>
      <c r="L132" s="1124"/>
      <c r="M132" s="1134"/>
      <c r="N132" s="1136"/>
      <c r="O132" s="1138"/>
      <c r="P132" s="1180"/>
      <c r="Q132" s="1180"/>
      <c r="R132" s="1136"/>
      <c r="S132" s="1136"/>
      <c r="T132" s="1136"/>
      <c r="U132" s="1126">
        <f>$S$8</f>
        <v>2015</v>
      </c>
      <c r="V132" s="1123">
        <f>S122</f>
        <v>0</v>
      </c>
    </row>
    <row r="133" spans="1:22" ht="13.5" thickBot="1">
      <c r="A133" s="1154"/>
      <c r="B133" s="1130"/>
      <c r="C133" s="1131"/>
      <c r="D133" s="1131"/>
      <c r="E133" s="1131"/>
      <c r="F133" s="1131"/>
      <c r="G133" s="1131"/>
      <c r="H133" s="1131"/>
      <c r="I133" s="1132"/>
      <c r="J133" s="1135"/>
      <c r="K133" s="1135"/>
      <c r="L133" s="1125"/>
      <c r="M133" s="1135"/>
      <c r="N133" s="1137"/>
      <c r="O133" s="1139"/>
      <c r="P133" s="1182"/>
      <c r="Q133" s="1182"/>
      <c r="R133" s="1137"/>
      <c r="S133" s="1137"/>
      <c r="T133" s="1137"/>
      <c r="U133" s="1140"/>
      <c r="V133" s="1141"/>
    </row>
    <row r="134" spans="1:22" ht="18.75" customHeight="1" thickTop="1" thickBot="1">
      <c r="A134" s="436"/>
      <c r="B134" s="304"/>
      <c r="C134" s="304"/>
      <c r="D134" s="304"/>
      <c r="E134" s="304"/>
      <c r="F134" s="304"/>
      <c r="G134" s="304"/>
      <c r="H134" s="304"/>
      <c r="I134" s="304"/>
      <c r="J134" s="301"/>
      <c r="K134" s="301"/>
      <c r="L134" s="300"/>
      <c r="M134" s="301"/>
      <c r="N134" s="437"/>
      <c r="O134" s="301"/>
      <c r="P134" s="437"/>
      <c r="Q134" s="437"/>
      <c r="R134" s="437"/>
      <c r="S134" s="437"/>
      <c r="T134" s="437"/>
      <c r="U134" s="444"/>
      <c r="V134" s="438"/>
    </row>
    <row r="135" spans="1:22" ht="13.5" thickTop="1">
      <c r="A135" s="1152">
        <v>10</v>
      </c>
      <c r="B135" s="1155" t="s">
        <v>133</v>
      </c>
      <c r="C135" s="1156"/>
      <c r="D135" s="1156">
        <v>600</v>
      </c>
      <c r="E135" s="1156"/>
      <c r="F135" s="1159" t="s">
        <v>157</v>
      </c>
      <c r="G135" s="1159"/>
      <c r="H135" s="1159"/>
      <c r="I135" s="1159"/>
      <c r="J135" s="1161">
        <v>2013</v>
      </c>
      <c r="K135" s="1161">
        <v>2014</v>
      </c>
      <c r="L135" s="1163">
        <f>SUM(N135,L141)</f>
        <v>20000000</v>
      </c>
      <c r="M135" s="1165" t="s">
        <v>152</v>
      </c>
      <c r="N135" s="1167">
        <f>IF(SUM(N139:N146)=U135,SUM(N139:N146),"wielbłąd")</f>
        <v>20000000</v>
      </c>
      <c r="O135" s="1168" t="s">
        <v>144</v>
      </c>
      <c r="P135" s="1167">
        <f t="shared" ref="P135" si="10">SUM(P139:P146)</f>
        <v>0</v>
      </c>
      <c r="Q135" s="1167">
        <f t="shared" ref="Q135:T135" si="11">SUM(Q139:Q146)</f>
        <v>14750000</v>
      </c>
      <c r="R135" s="1167">
        <f t="shared" si="11"/>
        <v>5250000</v>
      </c>
      <c r="S135" s="1167">
        <f t="shared" si="11"/>
        <v>0</v>
      </c>
      <c r="T135" s="1167">
        <f t="shared" si="11"/>
        <v>0</v>
      </c>
      <c r="U135" s="1169">
        <f>SUM(V139:V146)</f>
        <v>20000000</v>
      </c>
      <c r="V135" s="1170"/>
    </row>
    <row r="136" spans="1:22">
      <c r="A136" s="1153"/>
      <c r="B136" s="1157"/>
      <c r="C136" s="1158"/>
      <c r="D136" s="1158"/>
      <c r="E136" s="1158"/>
      <c r="F136" s="1160"/>
      <c r="G136" s="1160"/>
      <c r="H136" s="1160"/>
      <c r="I136" s="1160"/>
      <c r="J136" s="1134"/>
      <c r="K136" s="1134"/>
      <c r="L136" s="1164"/>
      <c r="M136" s="1166"/>
      <c r="N136" s="1124"/>
      <c r="O136" s="1138"/>
      <c r="P136" s="1124"/>
      <c r="Q136" s="1124"/>
      <c r="R136" s="1124"/>
      <c r="S136" s="1124"/>
      <c r="T136" s="1124"/>
      <c r="U136" s="1171"/>
      <c r="V136" s="1172"/>
    </row>
    <row r="137" spans="1:22">
      <c r="A137" s="1153"/>
      <c r="B137" s="1175" t="s">
        <v>139</v>
      </c>
      <c r="C137" s="1138"/>
      <c r="D137" s="1138">
        <v>60013</v>
      </c>
      <c r="E137" s="1138"/>
      <c r="F137" s="1160"/>
      <c r="G137" s="1160"/>
      <c r="H137" s="1160"/>
      <c r="I137" s="1160"/>
      <c r="J137" s="1134"/>
      <c r="K137" s="1134"/>
      <c r="L137" s="1164"/>
      <c r="M137" s="1166"/>
      <c r="N137" s="1124"/>
      <c r="O137" s="1138"/>
      <c r="P137" s="1124"/>
      <c r="Q137" s="1124"/>
      <c r="R137" s="1124"/>
      <c r="S137" s="1124"/>
      <c r="T137" s="1124"/>
      <c r="U137" s="1171"/>
      <c r="V137" s="1172"/>
    </row>
    <row r="138" spans="1:22">
      <c r="A138" s="1153"/>
      <c r="B138" s="1176"/>
      <c r="C138" s="1133"/>
      <c r="D138" s="1133"/>
      <c r="E138" s="1133"/>
      <c r="F138" s="1179"/>
      <c r="G138" s="1179"/>
      <c r="H138" s="1179"/>
      <c r="I138" s="1179"/>
      <c r="J138" s="1134"/>
      <c r="K138" s="1134"/>
      <c r="L138" s="1164"/>
      <c r="M138" s="1166"/>
      <c r="N138" s="1124"/>
      <c r="O138" s="1138"/>
      <c r="P138" s="1124"/>
      <c r="Q138" s="1124"/>
      <c r="R138" s="1124"/>
      <c r="S138" s="1124"/>
      <c r="T138" s="1124"/>
      <c r="U138" s="1173"/>
      <c r="V138" s="1174"/>
    </row>
    <row r="139" spans="1:22">
      <c r="A139" s="1142"/>
      <c r="B139" s="1142" t="s">
        <v>288</v>
      </c>
      <c r="C139" s="1143"/>
      <c r="D139" s="1143"/>
      <c r="E139" s="1143"/>
      <c r="F139" s="1143"/>
      <c r="G139" s="1143"/>
      <c r="H139" s="1143"/>
      <c r="I139" s="1144"/>
      <c r="J139" s="1162"/>
      <c r="K139" s="1134"/>
      <c r="L139" s="1164"/>
      <c r="M139" s="1138" t="s">
        <v>155</v>
      </c>
      <c r="N139" s="1136">
        <f>SUM(P139:T142)</f>
        <v>17000000</v>
      </c>
      <c r="O139" s="1138" t="s">
        <v>144</v>
      </c>
      <c r="P139" s="1151">
        <v>0</v>
      </c>
      <c r="Q139" s="1151">
        <v>12750000</v>
      </c>
      <c r="R139" s="1136">
        <v>4250000</v>
      </c>
      <c r="S139" s="1136">
        <v>0</v>
      </c>
      <c r="T139" s="1136">
        <v>0</v>
      </c>
      <c r="U139" s="1120">
        <f>$P$8</f>
        <v>2012</v>
      </c>
      <c r="V139" s="1122">
        <f>P135</f>
        <v>0</v>
      </c>
    </row>
    <row r="140" spans="1:22">
      <c r="A140" s="1142"/>
      <c r="B140" s="1145"/>
      <c r="C140" s="1146"/>
      <c r="D140" s="1146"/>
      <c r="E140" s="1146"/>
      <c r="F140" s="1146"/>
      <c r="G140" s="1146"/>
      <c r="H140" s="1146"/>
      <c r="I140" s="1147"/>
      <c r="J140" s="1162"/>
      <c r="K140" s="1134"/>
      <c r="L140" s="1164"/>
      <c r="M140" s="1138"/>
      <c r="N140" s="1136"/>
      <c r="O140" s="1138"/>
      <c r="P140" s="1180"/>
      <c r="Q140" s="1180"/>
      <c r="R140" s="1136"/>
      <c r="S140" s="1136"/>
      <c r="T140" s="1136"/>
      <c r="U140" s="1121"/>
      <c r="V140" s="1123"/>
    </row>
    <row r="141" spans="1:22">
      <c r="A141" s="1142"/>
      <c r="B141" s="1145"/>
      <c r="C141" s="1146"/>
      <c r="D141" s="1146"/>
      <c r="E141" s="1146"/>
      <c r="F141" s="1146"/>
      <c r="G141" s="1146"/>
      <c r="H141" s="1146"/>
      <c r="I141" s="1147"/>
      <c r="J141" s="1162"/>
      <c r="K141" s="1134"/>
      <c r="L141" s="1124">
        <v>0</v>
      </c>
      <c r="M141" s="1138"/>
      <c r="N141" s="1136"/>
      <c r="O141" s="1138"/>
      <c r="P141" s="1180"/>
      <c r="Q141" s="1180"/>
      <c r="R141" s="1136"/>
      <c r="S141" s="1136"/>
      <c r="T141" s="1136"/>
      <c r="U141" s="1126">
        <f>$Q$8</f>
        <v>2013</v>
      </c>
      <c r="V141" s="1123">
        <f>Q135</f>
        <v>14750000</v>
      </c>
    </row>
    <row r="142" spans="1:22">
      <c r="A142" s="1142"/>
      <c r="B142" s="1148"/>
      <c r="C142" s="1149"/>
      <c r="D142" s="1149"/>
      <c r="E142" s="1149"/>
      <c r="F142" s="1149"/>
      <c r="G142" s="1149"/>
      <c r="H142" s="1149"/>
      <c r="I142" s="1150"/>
      <c r="J142" s="1162"/>
      <c r="K142" s="1134"/>
      <c r="L142" s="1124"/>
      <c r="M142" s="1138"/>
      <c r="N142" s="1151"/>
      <c r="O142" s="1138"/>
      <c r="P142" s="1181"/>
      <c r="Q142" s="1181"/>
      <c r="R142" s="1136"/>
      <c r="S142" s="1136"/>
      <c r="T142" s="1136"/>
      <c r="U142" s="1126"/>
      <c r="V142" s="1123"/>
    </row>
    <row r="143" spans="1:22">
      <c r="A143" s="1142"/>
      <c r="B143" s="1127" t="s">
        <v>384</v>
      </c>
      <c r="C143" s="1128"/>
      <c r="D143" s="1128"/>
      <c r="E143" s="1128"/>
      <c r="F143" s="1128"/>
      <c r="G143" s="1128"/>
      <c r="H143" s="1128"/>
      <c r="I143" s="1129"/>
      <c r="J143" s="1134"/>
      <c r="K143" s="1134"/>
      <c r="L143" s="1124"/>
      <c r="M143" s="1133" t="s">
        <v>156</v>
      </c>
      <c r="N143" s="1136">
        <f>SUM(P143:T146)</f>
        <v>3000000</v>
      </c>
      <c r="O143" s="1138" t="s">
        <v>144</v>
      </c>
      <c r="P143" s="1151">
        <v>0</v>
      </c>
      <c r="Q143" s="1151">
        <v>2000000</v>
      </c>
      <c r="R143" s="1136">
        <v>1000000</v>
      </c>
      <c r="S143" s="1136">
        <v>0</v>
      </c>
      <c r="T143" s="1136">
        <v>0</v>
      </c>
      <c r="U143" s="1126">
        <f>$R$8</f>
        <v>2014</v>
      </c>
      <c r="V143" s="1123">
        <f>R135</f>
        <v>5250000</v>
      </c>
    </row>
    <row r="144" spans="1:22">
      <c r="A144" s="1142"/>
      <c r="B144" s="1127"/>
      <c r="C144" s="1128"/>
      <c r="D144" s="1128"/>
      <c r="E144" s="1128"/>
      <c r="F144" s="1128"/>
      <c r="G144" s="1128"/>
      <c r="H144" s="1128"/>
      <c r="I144" s="1129"/>
      <c r="J144" s="1134"/>
      <c r="K144" s="1134"/>
      <c r="L144" s="1124"/>
      <c r="M144" s="1134"/>
      <c r="N144" s="1136"/>
      <c r="O144" s="1138"/>
      <c r="P144" s="1180"/>
      <c r="Q144" s="1180"/>
      <c r="R144" s="1136"/>
      <c r="S144" s="1136"/>
      <c r="T144" s="1136"/>
      <c r="U144" s="1126"/>
      <c r="V144" s="1123"/>
    </row>
    <row r="145" spans="1:22">
      <c r="A145" s="1142"/>
      <c r="B145" s="1127"/>
      <c r="C145" s="1128"/>
      <c r="D145" s="1128"/>
      <c r="E145" s="1128"/>
      <c r="F145" s="1128"/>
      <c r="G145" s="1128"/>
      <c r="H145" s="1128"/>
      <c r="I145" s="1129"/>
      <c r="J145" s="1134"/>
      <c r="K145" s="1134"/>
      <c r="L145" s="1124"/>
      <c r="M145" s="1134"/>
      <c r="N145" s="1136"/>
      <c r="O145" s="1138"/>
      <c r="P145" s="1180"/>
      <c r="Q145" s="1180"/>
      <c r="R145" s="1136"/>
      <c r="S145" s="1136"/>
      <c r="T145" s="1136"/>
      <c r="U145" s="1126">
        <f>$S$8</f>
        <v>2015</v>
      </c>
      <c r="V145" s="1123">
        <f>S135</f>
        <v>0</v>
      </c>
    </row>
    <row r="146" spans="1:22" ht="13.5" thickBot="1">
      <c r="A146" s="1154"/>
      <c r="B146" s="1130"/>
      <c r="C146" s="1131"/>
      <c r="D146" s="1131"/>
      <c r="E146" s="1131"/>
      <c r="F146" s="1131"/>
      <c r="G146" s="1131"/>
      <c r="H146" s="1131"/>
      <c r="I146" s="1132"/>
      <c r="J146" s="1135"/>
      <c r="K146" s="1135"/>
      <c r="L146" s="1125"/>
      <c r="M146" s="1135"/>
      <c r="N146" s="1137"/>
      <c r="O146" s="1139"/>
      <c r="P146" s="1182"/>
      <c r="Q146" s="1182"/>
      <c r="R146" s="1137"/>
      <c r="S146" s="1137"/>
      <c r="T146" s="1137"/>
      <c r="U146" s="1140"/>
      <c r="V146" s="1141"/>
    </row>
    <row r="147" spans="1:22" ht="14.25" thickTop="1" thickBot="1">
      <c r="A147" s="880"/>
      <c r="B147" s="881"/>
      <c r="C147" s="881"/>
      <c r="D147" s="881"/>
      <c r="E147" s="881"/>
      <c r="F147" s="881"/>
      <c r="G147" s="881"/>
      <c r="H147" s="881"/>
      <c r="I147" s="881"/>
      <c r="J147" s="301"/>
      <c r="K147" s="301"/>
      <c r="L147" s="300"/>
      <c r="M147" s="301"/>
      <c r="N147" s="437"/>
      <c r="O147" s="301"/>
      <c r="P147" s="437"/>
      <c r="Q147" s="437"/>
      <c r="R147" s="437"/>
      <c r="S147" s="437"/>
      <c r="T147" s="437"/>
      <c r="U147" s="444"/>
      <c r="V147" s="438"/>
    </row>
    <row r="148" spans="1:22" ht="13.5" thickTop="1">
      <c r="A148" s="1152">
        <v>11</v>
      </c>
      <c r="B148" s="1155" t="s">
        <v>133</v>
      </c>
      <c r="C148" s="1156"/>
      <c r="D148" s="1156">
        <v>900</v>
      </c>
      <c r="E148" s="1156"/>
      <c r="F148" s="1159" t="s">
        <v>375</v>
      </c>
      <c r="G148" s="1159"/>
      <c r="H148" s="1159"/>
      <c r="I148" s="1159"/>
      <c r="J148" s="1161">
        <v>2013</v>
      </c>
      <c r="K148" s="1161">
        <v>2015</v>
      </c>
      <c r="L148" s="1163">
        <f>SUM(N148,L154)</f>
        <v>51776311.399999999</v>
      </c>
      <c r="M148" s="1165" t="s">
        <v>152</v>
      </c>
      <c r="N148" s="1167">
        <f>IF(SUM(N152:N159)=U148,SUM(N152:N159),"wielbłąd")</f>
        <v>51756631.399999999</v>
      </c>
      <c r="O148" s="1168" t="s">
        <v>144</v>
      </c>
      <c r="P148" s="1167">
        <f t="shared" ref="P148" si="12">SUM(P152:P159)</f>
        <v>0</v>
      </c>
      <c r="Q148" s="1167">
        <f t="shared" ref="Q148:T148" si="13">SUM(Q152:Q159)</f>
        <v>19044300</v>
      </c>
      <c r="R148" s="1167">
        <f t="shared" si="13"/>
        <v>28166306.93</v>
      </c>
      <c r="S148" s="1167">
        <f t="shared" si="13"/>
        <v>4546024.47</v>
      </c>
      <c r="T148" s="1167">
        <f t="shared" si="13"/>
        <v>0</v>
      </c>
      <c r="U148" s="1169">
        <f>SUM(V152:V159)</f>
        <v>51756631.399999999</v>
      </c>
      <c r="V148" s="1170"/>
    </row>
    <row r="149" spans="1:22">
      <c r="A149" s="1153"/>
      <c r="B149" s="1157"/>
      <c r="C149" s="1158"/>
      <c r="D149" s="1158"/>
      <c r="E149" s="1158"/>
      <c r="F149" s="1160"/>
      <c r="G149" s="1160"/>
      <c r="H149" s="1160"/>
      <c r="I149" s="1160"/>
      <c r="J149" s="1134"/>
      <c r="K149" s="1134"/>
      <c r="L149" s="1164"/>
      <c r="M149" s="1166"/>
      <c r="N149" s="1124"/>
      <c r="O149" s="1138"/>
      <c r="P149" s="1124"/>
      <c r="Q149" s="1124"/>
      <c r="R149" s="1124"/>
      <c r="S149" s="1124"/>
      <c r="T149" s="1124"/>
      <c r="U149" s="1171"/>
      <c r="V149" s="1172"/>
    </row>
    <row r="150" spans="1:22">
      <c r="A150" s="1153"/>
      <c r="B150" s="1175" t="s">
        <v>139</v>
      </c>
      <c r="C150" s="1138"/>
      <c r="D150" s="1138">
        <v>90002</v>
      </c>
      <c r="E150" s="1138"/>
      <c r="F150" s="1160" t="s">
        <v>376</v>
      </c>
      <c r="G150" s="1160"/>
      <c r="H150" s="1160"/>
      <c r="I150" s="1160"/>
      <c r="J150" s="1134"/>
      <c r="K150" s="1134"/>
      <c r="L150" s="1164"/>
      <c r="M150" s="1166"/>
      <c r="N150" s="1124"/>
      <c r="O150" s="1138"/>
      <c r="P150" s="1124"/>
      <c r="Q150" s="1124"/>
      <c r="R150" s="1124"/>
      <c r="S150" s="1124"/>
      <c r="T150" s="1124"/>
      <c r="U150" s="1171"/>
      <c r="V150" s="1172"/>
    </row>
    <row r="151" spans="1:22">
      <c r="A151" s="1153"/>
      <c r="B151" s="1176"/>
      <c r="C151" s="1133"/>
      <c r="D151" s="1133"/>
      <c r="E151" s="1133"/>
      <c r="F151" s="1179"/>
      <c r="G151" s="1179"/>
      <c r="H151" s="1179"/>
      <c r="I151" s="1179"/>
      <c r="J151" s="1134"/>
      <c r="K151" s="1134"/>
      <c r="L151" s="1164"/>
      <c r="M151" s="1166"/>
      <c r="N151" s="1124"/>
      <c r="O151" s="1138"/>
      <c r="P151" s="1124"/>
      <c r="Q151" s="1124"/>
      <c r="R151" s="1124"/>
      <c r="S151" s="1124"/>
      <c r="T151" s="1124"/>
      <c r="U151" s="1173"/>
      <c r="V151" s="1174"/>
    </row>
    <row r="152" spans="1:22">
      <c r="A152" s="1142"/>
      <c r="B152" s="1142" t="s">
        <v>368</v>
      </c>
      <c r="C152" s="1143"/>
      <c r="D152" s="1143"/>
      <c r="E152" s="1143"/>
      <c r="F152" s="1143"/>
      <c r="G152" s="1143"/>
      <c r="H152" s="1143"/>
      <c r="I152" s="1144"/>
      <c r="J152" s="1162"/>
      <c r="K152" s="1134"/>
      <c r="L152" s="1164"/>
      <c r="M152" s="1138" t="s">
        <v>155</v>
      </c>
      <c r="N152" s="1136">
        <f>SUM(P152:T155)</f>
        <v>43993136.689999998</v>
      </c>
      <c r="O152" s="1138" t="s">
        <v>144</v>
      </c>
      <c r="P152" s="1151">
        <v>0</v>
      </c>
      <c r="Q152" s="1151">
        <v>16187655</v>
      </c>
      <c r="R152" s="1136">
        <f>23941360.89</f>
        <v>23941360.890000001</v>
      </c>
      <c r="S152" s="1136">
        <v>3864120.8</v>
      </c>
      <c r="T152" s="1136">
        <v>0</v>
      </c>
      <c r="U152" s="1120">
        <f>$P$8</f>
        <v>2012</v>
      </c>
      <c r="V152" s="1122">
        <f>P148</f>
        <v>0</v>
      </c>
    </row>
    <row r="153" spans="1:22">
      <c r="A153" s="1142"/>
      <c r="B153" s="1145"/>
      <c r="C153" s="1146"/>
      <c r="D153" s="1146"/>
      <c r="E153" s="1146"/>
      <c r="F153" s="1146"/>
      <c r="G153" s="1146"/>
      <c r="H153" s="1146"/>
      <c r="I153" s="1147"/>
      <c r="J153" s="1162"/>
      <c r="K153" s="1134"/>
      <c r="L153" s="1164"/>
      <c r="M153" s="1138"/>
      <c r="N153" s="1136"/>
      <c r="O153" s="1138"/>
      <c r="P153" s="1180"/>
      <c r="Q153" s="1180"/>
      <c r="R153" s="1136"/>
      <c r="S153" s="1136"/>
      <c r="T153" s="1136"/>
      <c r="U153" s="1121"/>
      <c r="V153" s="1123"/>
    </row>
    <row r="154" spans="1:22">
      <c r="A154" s="1142"/>
      <c r="B154" s="1145"/>
      <c r="C154" s="1146"/>
      <c r="D154" s="1146"/>
      <c r="E154" s="1146"/>
      <c r="F154" s="1146"/>
      <c r="G154" s="1146"/>
      <c r="H154" s="1146"/>
      <c r="I154" s="1147"/>
      <c r="J154" s="1162"/>
      <c r="K154" s="1134"/>
      <c r="L154" s="1124">
        <v>19680</v>
      </c>
      <c r="M154" s="1138"/>
      <c r="N154" s="1136"/>
      <c r="O154" s="1138"/>
      <c r="P154" s="1180"/>
      <c r="Q154" s="1180"/>
      <c r="R154" s="1136"/>
      <c r="S154" s="1136"/>
      <c r="T154" s="1136"/>
      <c r="U154" s="1126">
        <f>$Q$8</f>
        <v>2013</v>
      </c>
      <c r="V154" s="1123">
        <f>Q148</f>
        <v>19044300</v>
      </c>
    </row>
    <row r="155" spans="1:22">
      <c r="A155" s="1142"/>
      <c r="B155" s="1148"/>
      <c r="C155" s="1149"/>
      <c r="D155" s="1149"/>
      <c r="E155" s="1149"/>
      <c r="F155" s="1149"/>
      <c r="G155" s="1149"/>
      <c r="H155" s="1149"/>
      <c r="I155" s="1150"/>
      <c r="J155" s="1162"/>
      <c r="K155" s="1134"/>
      <c r="L155" s="1124"/>
      <c r="M155" s="1138"/>
      <c r="N155" s="1151"/>
      <c r="O155" s="1138"/>
      <c r="P155" s="1181"/>
      <c r="Q155" s="1181"/>
      <c r="R155" s="1136"/>
      <c r="S155" s="1136"/>
      <c r="T155" s="1136"/>
      <c r="U155" s="1126"/>
      <c r="V155" s="1123"/>
    </row>
    <row r="156" spans="1:22">
      <c r="A156" s="1142"/>
      <c r="B156" s="1127" t="s">
        <v>383</v>
      </c>
      <c r="C156" s="1128"/>
      <c r="D156" s="1128"/>
      <c r="E156" s="1128"/>
      <c r="F156" s="1128"/>
      <c r="G156" s="1128"/>
      <c r="H156" s="1128"/>
      <c r="I156" s="1129"/>
      <c r="J156" s="1134"/>
      <c r="K156" s="1134"/>
      <c r="L156" s="1124"/>
      <c r="M156" s="1133" t="s">
        <v>156</v>
      </c>
      <c r="N156" s="1136">
        <f>SUM(P156:T159)</f>
        <v>7763494.71</v>
      </c>
      <c r="O156" s="1138" t="s">
        <v>144</v>
      </c>
      <c r="P156" s="1151">
        <v>0</v>
      </c>
      <c r="Q156" s="1151">
        <v>2856645</v>
      </c>
      <c r="R156" s="1136">
        <v>4224946.04</v>
      </c>
      <c r="S156" s="1136">
        <v>681903.67</v>
      </c>
      <c r="T156" s="1136">
        <v>0</v>
      </c>
      <c r="U156" s="1126">
        <f>$R$8</f>
        <v>2014</v>
      </c>
      <c r="V156" s="1123">
        <f>R148</f>
        <v>28166306.93</v>
      </c>
    </row>
    <row r="157" spans="1:22">
      <c r="A157" s="1142"/>
      <c r="B157" s="1127"/>
      <c r="C157" s="1128"/>
      <c r="D157" s="1128"/>
      <c r="E157" s="1128"/>
      <c r="F157" s="1128"/>
      <c r="G157" s="1128"/>
      <c r="H157" s="1128"/>
      <c r="I157" s="1129"/>
      <c r="J157" s="1134"/>
      <c r="K157" s="1134"/>
      <c r="L157" s="1124"/>
      <c r="M157" s="1134"/>
      <c r="N157" s="1136"/>
      <c r="O157" s="1138"/>
      <c r="P157" s="1180"/>
      <c r="Q157" s="1180"/>
      <c r="R157" s="1136"/>
      <c r="S157" s="1136"/>
      <c r="T157" s="1136"/>
      <c r="U157" s="1126"/>
      <c r="V157" s="1123"/>
    </row>
    <row r="158" spans="1:22">
      <c r="A158" s="1142"/>
      <c r="B158" s="1127"/>
      <c r="C158" s="1128"/>
      <c r="D158" s="1128"/>
      <c r="E158" s="1128"/>
      <c r="F158" s="1128"/>
      <c r="G158" s="1128"/>
      <c r="H158" s="1128"/>
      <c r="I158" s="1129"/>
      <c r="J158" s="1134"/>
      <c r="K158" s="1134"/>
      <c r="L158" s="1124"/>
      <c r="M158" s="1134"/>
      <c r="N158" s="1136"/>
      <c r="O158" s="1138"/>
      <c r="P158" s="1180"/>
      <c r="Q158" s="1180"/>
      <c r="R158" s="1136"/>
      <c r="S158" s="1136"/>
      <c r="T158" s="1136"/>
      <c r="U158" s="1126">
        <f>$S$8</f>
        <v>2015</v>
      </c>
      <c r="V158" s="1123">
        <f>S148</f>
        <v>4546024.47</v>
      </c>
    </row>
    <row r="159" spans="1:22" ht="13.5" thickBot="1">
      <c r="A159" s="1154"/>
      <c r="B159" s="1130"/>
      <c r="C159" s="1131"/>
      <c r="D159" s="1131"/>
      <c r="E159" s="1131"/>
      <c r="F159" s="1131"/>
      <c r="G159" s="1131"/>
      <c r="H159" s="1131"/>
      <c r="I159" s="1132"/>
      <c r="J159" s="1135"/>
      <c r="K159" s="1135"/>
      <c r="L159" s="1125"/>
      <c r="M159" s="1135"/>
      <c r="N159" s="1137"/>
      <c r="O159" s="1139"/>
      <c r="P159" s="1182"/>
      <c r="Q159" s="1182"/>
      <c r="R159" s="1137"/>
      <c r="S159" s="1137"/>
      <c r="T159" s="1137"/>
      <c r="U159" s="1140"/>
      <c r="V159" s="1141"/>
    </row>
    <row r="160" spans="1:22" ht="14.25" thickTop="1" thickBot="1">
      <c r="A160" s="880"/>
      <c r="B160" s="881"/>
      <c r="C160" s="881"/>
      <c r="D160" s="881"/>
      <c r="E160" s="881"/>
      <c r="F160" s="881"/>
      <c r="G160" s="881"/>
      <c r="H160" s="881"/>
      <c r="I160" s="881"/>
      <c r="J160" s="301"/>
      <c r="K160" s="301"/>
      <c r="L160" s="300"/>
      <c r="M160" s="301"/>
      <c r="N160" s="437"/>
      <c r="O160" s="301"/>
      <c r="P160" s="437"/>
      <c r="Q160" s="437"/>
      <c r="R160" s="437"/>
      <c r="S160" s="437"/>
      <c r="T160" s="437"/>
      <c r="U160" s="444"/>
      <c r="V160" s="438"/>
    </row>
    <row r="161" spans="1:22" ht="13.5" thickTop="1">
      <c r="A161" s="1152">
        <v>12</v>
      </c>
      <c r="B161" s="1155" t="s">
        <v>133</v>
      </c>
      <c r="C161" s="1156"/>
      <c r="D161" s="1156">
        <v>750</v>
      </c>
      <c r="E161" s="1156"/>
      <c r="F161" s="1159" t="s">
        <v>169</v>
      </c>
      <c r="G161" s="1159"/>
      <c r="H161" s="1159"/>
      <c r="I161" s="1159"/>
      <c r="J161" s="1161">
        <v>2012</v>
      </c>
      <c r="K161" s="1161">
        <v>2013</v>
      </c>
      <c r="L161" s="1163">
        <f>SUM(N161,L167)</f>
        <v>1015000</v>
      </c>
      <c r="M161" s="1165" t="s">
        <v>152</v>
      </c>
      <c r="N161" s="1167">
        <f>IF(SUM(N165:N172)=U161,SUM(N165:N172),"wielbłąd")</f>
        <v>1015000</v>
      </c>
      <c r="O161" s="1168" t="s">
        <v>144</v>
      </c>
      <c r="P161" s="1167">
        <f t="shared" ref="P161" si="14">SUM(P165:P172)</f>
        <v>15000</v>
      </c>
      <c r="Q161" s="1167">
        <f t="shared" ref="Q161:T161" si="15">SUM(Q165:Q172)</f>
        <v>1000000</v>
      </c>
      <c r="R161" s="1167">
        <f t="shared" si="15"/>
        <v>0</v>
      </c>
      <c r="S161" s="1167">
        <f t="shared" si="15"/>
        <v>0</v>
      </c>
      <c r="T161" s="1167">
        <f t="shared" si="15"/>
        <v>0</v>
      </c>
      <c r="U161" s="1169">
        <f>SUM(V165:V172)</f>
        <v>1015000</v>
      </c>
      <c r="V161" s="1170"/>
    </row>
    <row r="162" spans="1:22">
      <c r="A162" s="1153"/>
      <c r="B162" s="1157"/>
      <c r="C162" s="1158"/>
      <c r="D162" s="1158"/>
      <c r="E162" s="1158"/>
      <c r="F162" s="1160"/>
      <c r="G162" s="1160"/>
      <c r="H162" s="1160"/>
      <c r="I162" s="1160"/>
      <c r="J162" s="1134"/>
      <c r="K162" s="1134"/>
      <c r="L162" s="1164"/>
      <c r="M162" s="1166"/>
      <c r="N162" s="1124"/>
      <c r="O162" s="1138"/>
      <c r="P162" s="1124"/>
      <c r="Q162" s="1124"/>
      <c r="R162" s="1124"/>
      <c r="S162" s="1124"/>
      <c r="T162" s="1124"/>
      <c r="U162" s="1171"/>
      <c r="V162" s="1172"/>
    </row>
    <row r="163" spans="1:22">
      <c r="A163" s="1153"/>
      <c r="B163" s="1175" t="s">
        <v>139</v>
      </c>
      <c r="C163" s="1138"/>
      <c r="D163" s="1138">
        <v>75023</v>
      </c>
      <c r="E163" s="1138"/>
      <c r="F163" s="1160" t="s">
        <v>170</v>
      </c>
      <c r="G163" s="1160"/>
      <c r="H163" s="1160"/>
      <c r="I163" s="1160"/>
      <c r="J163" s="1134"/>
      <c r="K163" s="1134"/>
      <c r="L163" s="1164"/>
      <c r="M163" s="1166"/>
      <c r="N163" s="1124"/>
      <c r="O163" s="1138"/>
      <c r="P163" s="1124"/>
      <c r="Q163" s="1124"/>
      <c r="R163" s="1124"/>
      <c r="S163" s="1124"/>
      <c r="T163" s="1124"/>
      <c r="U163" s="1171"/>
      <c r="V163" s="1172"/>
    </row>
    <row r="164" spans="1:22">
      <c r="A164" s="1153"/>
      <c r="B164" s="1176"/>
      <c r="C164" s="1133"/>
      <c r="D164" s="1133"/>
      <c r="E164" s="1133"/>
      <c r="F164" s="1179"/>
      <c r="G164" s="1179"/>
      <c r="H164" s="1179"/>
      <c r="I164" s="1179"/>
      <c r="J164" s="1134"/>
      <c r="K164" s="1134"/>
      <c r="L164" s="1164"/>
      <c r="M164" s="1166"/>
      <c r="N164" s="1124"/>
      <c r="O164" s="1138"/>
      <c r="P164" s="1124"/>
      <c r="Q164" s="1124"/>
      <c r="R164" s="1124"/>
      <c r="S164" s="1124"/>
      <c r="T164" s="1124"/>
      <c r="U164" s="1173"/>
      <c r="V164" s="1174"/>
    </row>
    <row r="165" spans="1:22">
      <c r="A165" s="1142"/>
      <c r="B165" s="1142" t="s">
        <v>381</v>
      </c>
      <c r="C165" s="1143"/>
      <c r="D165" s="1143"/>
      <c r="E165" s="1143"/>
      <c r="F165" s="1143"/>
      <c r="G165" s="1143"/>
      <c r="H165" s="1143"/>
      <c r="I165" s="1144"/>
      <c r="J165" s="1162"/>
      <c r="K165" s="1134"/>
      <c r="L165" s="1164"/>
      <c r="M165" s="1138" t="s">
        <v>155</v>
      </c>
      <c r="N165" s="1136">
        <f>SUM(P165:T168)</f>
        <v>850000</v>
      </c>
      <c r="O165" s="1138" t="s">
        <v>144</v>
      </c>
      <c r="P165" s="1151">
        <v>0</v>
      </c>
      <c r="Q165" s="1151">
        <v>850000</v>
      </c>
      <c r="R165" s="1136">
        <v>0</v>
      </c>
      <c r="S165" s="1136">
        <v>0</v>
      </c>
      <c r="T165" s="1136">
        <v>0</v>
      </c>
      <c r="U165" s="1120">
        <f>$P$8</f>
        <v>2012</v>
      </c>
      <c r="V165" s="1122">
        <f>P161</f>
        <v>15000</v>
      </c>
    </row>
    <row r="166" spans="1:22">
      <c r="A166" s="1142"/>
      <c r="B166" s="1145"/>
      <c r="C166" s="1146"/>
      <c r="D166" s="1146"/>
      <c r="E166" s="1146"/>
      <c r="F166" s="1146"/>
      <c r="G166" s="1146"/>
      <c r="H166" s="1146"/>
      <c r="I166" s="1147"/>
      <c r="J166" s="1162"/>
      <c r="K166" s="1134"/>
      <c r="L166" s="1164"/>
      <c r="M166" s="1138"/>
      <c r="N166" s="1136"/>
      <c r="O166" s="1138"/>
      <c r="P166" s="1180"/>
      <c r="Q166" s="1180"/>
      <c r="R166" s="1136"/>
      <c r="S166" s="1136"/>
      <c r="T166" s="1136"/>
      <c r="U166" s="1121"/>
      <c r="V166" s="1123"/>
    </row>
    <row r="167" spans="1:22">
      <c r="A167" s="1142"/>
      <c r="B167" s="1145"/>
      <c r="C167" s="1146"/>
      <c r="D167" s="1146"/>
      <c r="E167" s="1146"/>
      <c r="F167" s="1146"/>
      <c r="G167" s="1146"/>
      <c r="H167" s="1146"/>
      <c r="I167" s="1147"/>
      <c r="J167" s="1162"/>
      <c r="K167" s="1134"/>
      <c r="L167" s="1124">
        <v>0</v>
      </c>
      <c r="M167" s="1138"/>
      <c r="N167" s="1136"/>
      <c r="O167" s="1138"/>
      <c r="P167" s="1180"/>
      <c r="Q167" s="1180"/>
      <c r="R167" s="1136"/>
      <c r="S167" s="1136"/>
      <c r="T167" s="1136"/>
      <c r="U167" s="1126">
        <f>$Q$8</f>
        <v>2013</v>
      </c>
      <c r="V167" s="1123">
        <f>Q161</f>
        <v>1000000</v>
      </c>
    </row>
    <row r="168" spans="1:22">
      <c r="A168" s="1142"/>
      <c r="B168" s="1148"/>
      <c r="C168" s="1149"/>
      <c r="D168" s="1149"/>
      <c r="E168" s="1149"/>
      <c r="F168" s="1149"/>
      <c r="G168" s="1149"/>
      <c r="H168" s="1149"/>
      <c r="I168" s="1150"/>
      <c r="J168" s="1162"/>
      <c r="K168" s="1134"/>
      <c r="L168" s="1124"/>
      <c r="M168" s="1138"/>
      <c r="N168" s="1151"/>
      <c r="O168" s="1138"/>
      <c r="P168" s="1181"/>
      <c r="Q168" s="1181"/>
      <c r="R168" s="1136"/>
      <c r="S168" s="1136"/>
      <c r="T168" s="1136"/>
      <c r="U168" s="1126"/>
      <c r="V168" s="1123"/>
    </row>
    <row r="169" spans="1:22">
      <c r="A169" s="1142"/>
      <c r="B169" s="1127" t="s">
        <v>382</v>
      </c>
      <c r="C169" s="1128"/>
      <c r="D169" s="1128"/>
      <c r="E169" s="1128"/>
      <c r="F169" s="1128"/>
      <c r="G169" s="1128"/>
      <c r="H169" s="1128"/>
      <c r="I169" s="1129"/>
      <c r="J169" s="1134"/>
      <c r="K169" s="1134"/>
      <c r="L169" s="1124"/>
      <c r="M169" s="1133" t="s">
        <v>156</v>
      </c>
      <c r="N169" s="1136">
        <f>SUM(P169:T172)</f>
        <v>165000</v>
      </c>
      <c r="O169" s="1138" t="s">
        <v>144</v>
      </c>
      <c r="P169" s="1151">
        <v>15000</v>
      </c>
      <c r="Q169" s="1151">
        <v>150000</v>
      </c>
      <c r="R169" s="1136">
        <v>0</v>
      </c>
      <c r="S169" s="1136">
        <v>0</v>
      </c>
      <c r="T169" s="1136">
        <v>0</v>
      </c>
      <c r="U169" s="1126"/>
      <c r="V169" s="1123"/>
    </row>
    <row r="170" spans="1:22">
      <c r="A170" s="1142"/>
      <c r="B170" s="1127"/>
      <c r="C170" s="1128"/>
      <c r="D170" s="1128"/>
      <c r="E170" s="1128"/>
      <c r="F170" s="1128"/>
      <c r="G170" s="1128"/>
      <c r="H170" s="1128"/>
      <c r="I170" s="1129"/>
      <c r="J170" s="1134"/>
      <c r="K170" s="1134"/>
      <c r="L170" s="1124"/>
      <c r="M170" s="1134"/>
      <c r="N170" s="1136"/>
      <c r="O170" s="1138"/>
      <c r="P170" s="1180"/>
      <c r="Q170" s="1180"/>
      <c r="R170" s="1136"/>
      <c r="S170" s="1136"/>
      <c r="T170" s="1136"/>
      <c r="U170" s="1126"/>
      <c r="V170" s="1123"/>
    </row>
    <row r="171" spans="1:22">
      <c r="A171" s="1142"/>
      <c r="B171" s="1127"/>
      <c r="C171" s="1128"/>
      <c r="D171" s="1128"/>
      <c r="E171" s="1128"/>
      <c r="F171" s="1128"/>
      <c r="G171" s="1128"/>
      <c r="H171" s="1128"/>
      <c r="I171" s="1129"/>
      <c r="J171" s="1134"/>
      <c r="K171" s="1134"/>
      <c r="L171" s="1124"/>
      <c r="M171" s="1134"/>
      <c r="N171" s="1136"/>
      <c r="O171" s="1138"/>
      <c r="P171" s="1180"/>
      <c r="Q171" s="1180"/>
      <c r="R171" s="1136"/>
      <c r="S171" s="1136"/>
      <c r="T171" s="1136"/>
      <c r="U171" s="1126"/>
      <c r="V171" s="1123"/>
    </row>
    <row r="172" spans="1:22" ht="13.5" thickBot="1">
      <c r="A172" s="1154"/>
      <c r="B172" s="1130"/>
      <c r="C172" s="1131"/>
      <c r="D172" s="1131"/>
      <c r="E172" s="1131"/>
      <c r="F172" s="1131"/>
      <c r="G172" s="1131"/>
      <c r="H172" s="1131"/>
      <c r="I172" s="1132"/>
      <c r="J172" s="1135"/>
      <c r="K172" s="1135"/>
      <c r="L172" s="1125"/>
      <c r="M172" s="1135"/>
      <c r="N172" s="1137"/>
      <c r="O172" s="1139"/>
      <c r="P172" s="1182"/>
      <c r="Q172" s="1182"/>
      <c r="R172" s="1137"/>
      <c r="S172" s="1137"/>
      <c r="T172" s="1137"/>
      <c r="U172" s="1140"/>
      <c r="V172" s="1141"/>
    </row>
    <row r="173" spans="1:22" ht="14.25" thickTop="1" thickBot="1">
      <c r="A173" s="919"/>
      <c r="B173" s="920"/>
      <c r="C173" s="920"/>
      <c r="D173" s="920"/>
      <c r="E173" s="920"/>
      <c r="F173" s="920"/>
      <c r="G173" s="920"/>
      <c r="H173" s="920"/>
      <c r="I173" s="920"/>
      <c r="J173" s="301"/>
      <c r="K173" s="301"/>
      <c r="L173" s="300"/>
      <c r="M173" s="301"/>
      <c r="N173" s="437"/>
      <c r="O173" s="301"/>
      <c r="P173" s="437"/>
      <c r="Q173" s="437"/>
      <c r="R173" s="437"/>
      <c r="S173" s="437"/>
      <c r="T173" s="437"/>
      <c r="U173" s="444"/>
      <c r="V173" s="438"/>
    </row>
    <row r="174" spans="1:22" ht="13.5" thickTop="1">
      <c r="A174" s="1152">
        <v>13</v>
      </c>
      <c r="B174" s="1155" t="s">
        <v>133</v>
      </c>
      <c r="C174" s="1156"/>
      <c r="D174" s="1156">
        <v>801</v>
      </c>
      <c r="E174" s="1156"/>
      <c r="F174" s="1159" t="s">
        <v>178</v>
      </c>
      <c r="G174" s="1159"/>
      <c r="H174" s="1159"/>
      <c r="I174" s="1159"/>
      <c r="J174" s="1161">
        <v>2012</v>
      </c>
      <c r="K174" s="1161">
        <v>2013</v>
      </c>
      <c r="L174" s="1163">
        <f>SUM(N174,L180)</f>
        <v>60817</v>
      </c>
      <c r="M174" s="1165" t="s">
        <v>152</v>
      </c>
      <c r="N174" s="1167">
        <f>IF(SUM(N178:N185)=U174,SUM(N178:N185),"wielbłąd")</f>
        <v>60817</v>
      </c>
      <c r="O174" s="1168" t="s">
        <v>144</v>
      </c>
      <c r="P174" s="1167">
        <f t="shared" ref="P174" si="16">SUM(P178:P185)</f>
        <v>60817</v>
      </c>
      <c r="Q174" s="1167">
        <f t="shared" ref="Q174:T174" si="17">SUM(Q178:Q185)</f>
        <v>0</v>
      </c>
      <c r="R174" s="1167">
        <f t="shared" si="17"/>
        <v>0</v>
      </c>
      <c r="S174" s="1167">
        <f t="shared" si="17"/>
        <v>0</v>
      </c>
      <c r="T174" s="1167">
        <f t="shared" si="17"/>
        <v>0</v>
      </c>
      <c r="U174" s="1169">
        <f>SUM(V178:V185)</f>
        <v>60817</v>
      </c>
      <c r="V174" s="1170"/>
    </row>
    <row r="175" spans="1:22">
      <c r="A175" s="1153"/>
      <c r="B175" s="1157"/>
      <c r="C175" s="1158"/>
      <c r="D175" s="1158"/>
      <c r="E175" s="1158"/>
      <c r="F175" s="1160"/>
      <c r="G175" s="1160"/>
      <c r="H175" s="1160"/>
      <c r="I175" s="1160"/>
      <c r="J175" s="1134"/>
      <c r="K175" s="1134"/>
      <c r="L175" s="1164"/>
      <c r="M175" s="1166"/>
      <c r="N175" s="1124"/>
      <c r="O175" s="1138"/>
      <c r="P175" s="1124"/>
      <c r="Q175" s="1124"/>
      <c r="R175" s="1124"/>
      <c r="S175" s="1124"/>
      <c r="T175" s="1124"/>
      <c r="U175" s="1171"/>
      <c r="V175" s="1172"/>
    </row>
    <row r="176" spans="1:22">
      <c r="A176" s="1153"/>
      <c r="B176" s="1175" t="s">
        <v>139</v>
      </c>
      <c r="C176" s="1138"/>
      <c r="D176" s="1138">
        <v>80195</v>
      </c>
      <c r="E176" s="1138"/>
      <c r="F176" s="1160" t="s">
        <v>377</v>
      </c>
      <c r="G176" s="1160"/>
      <c r="H176" s="1160"/>
      <c r="I176" s="1160"/>
      <c r="J176" s="1134"/>
      <c r="K176" s="1134"/>
      <c r="L176" s="1164"/>
      <c r="M176" s="1166"/>
      <c r="N176" s="1124"/>
      <c r="O176" s="1138"/>
      <c r="P176" s="1124"/>
      <c r="Q176" s="1124"/>
      <c r="R176" s="1124"/>
      <c r="S176" s="1124"/>
      <c r="T176" s="1124"/>
      <c r="U176" s="1171"/>
      <c r="V176" s="1172"/>
    </row>
    <row r="177" spans="1:22">
      <c r="A177" s="1153"/>
      <c r="B177" s="1176"/>
      <c r="C177" s="1133"/>
      <c r="D177" s="1133"/>
      <c r="E177" s="1133"/>
      <c r="F177" s="1179"/>
      <c r="G177" s="1179"/>
      <c r="H177" s="1179"/>
      <c r="I177" s="1179"/>
      <c r="J177" s="1134"/>
      <c r="K177" s="1134"/>
      <c r="L177" s="1164"/>
      <c r="M177" s="1166"/>
      <c r="N177" s="1124"/>
      <c r="O177" s="1138"/>
      <c r="P177" s="1124"/>
      <c r="Q177" s="1124"/>
      <c r="R177" s="1124"/>
      <c r="S177" s="1124"/>
      <c r="T177" s="1124"/>
      <c r="U177" s="1173"/>
      <c r="V177" s="1174"/>
    </row>
    <row r="178" spans="1:22">
      <c r="A178" s="1142"/>
      <c r="B178" s="1142" t="s">
        <v>196</v>
      </c>
      <c r="C178" s="1143"/>
      <c r="D178" s="1143"/>
      <c r="E178" s="1143"/>
      <c r="F178" s="1143"/>
      <c r="G178" s="1143"/>
      <c r="H178" s="1143"/>
      <c r="I178" s="1144"/>
      <c r="J178" s="1162"/>
      <c r="K178" s="1134"/>
      <c r="L178" s="1164"/>
      <c r="M178" s="1138" t="s">
        <v>155</v>
      </c>
      <c r="N178" s="1136">
        <f>SUM(P178:T181)</f>
        <v>51694</v>
      </c>
      <c r="O178" s="1138" t="s">
        <v>144</v>
      </c>
      <c r="P178" s="1151">
        <v>51694</v>
      </c>
      <c r="Q178" s="1151">
        <v>0</v>
      </c>
      <c r="R178" s="1136">
        <v>0</v>
      </c>
      <c r="S178" s="1136">
        <v>0</v>
      </c>
      <c r="T178" s="1136">
        <v>0</v>
      </c>
      <c r="U178" s="1120">
        <f>$P$8</f>
        <v>2012</v>
      </c>
      <c r="V178" s="1122">
        <f>P174</f>
        <v>60817</v>
      </c>
    </row>
    <row r="179" spans="1:22">
      <c r="A179" s="1142"/>
      <c r="B179" s="1145"/>
      <c r="C179" s="1146"/>
      <c r="D179" s="1146"/>
      <c r="E179" s="1146"/>
      <c r="F179" s="1146"/>
      <c r="G179" s="1146"/>
      <c r="H179" s="1146"/>
      <c r="I179" s="1147"/>
      <c r="J179" s="1162"/>
      <c r="K179" s="1134"/>
      <c r="L179" s="1164"/>
      <c r="M179" s="1138"/>
      <c r="N179" s="1136"/>
      <c r="O179" s="1138"/>
      <c r="P179" s="1180"/>
      <c r="Q179" s="1180"/>
      <c r="R179" s="1136"/>
      <c r="S179" s="1136"/>
      <c r="T179" s="1136"/>
      <c r="U179" s="1121"/>
      <c r="V179" s="1123"/>
    </row>
    <row r="180" spans="1:22">
      <c r="A180" s="1142"/>
      <c r="B180" s="1145"/>
      <c r="C180" s="1146"/>
      <c r="D180" s="1146"/>
      <c r="E180" s="1146"/>
      <c r="F180" s="1146"/>
      <c r="G180" s="1146"/>
      <c r="H180" s="1146"/>
      <c r="I180" s="1147"/>
      <c r="J180" s="1162"/>
      <c r="K180" s="1134"/>
      <c r="L180" s="1124">
        <v>0</v>
      </c>
      <c r="M180" s="1138"/>
      <c r="N180" s="1136"/>
      <c r="O180" s="1138"/>
      <c r="P180" s="1180"/>
      <c r="Q180" s="1180"/>
      <c r="R180" s="1136"/>
      <c r="S180" s="1136"/>
      <c r="T180" s="1136"/>
      <c r="U180" s="1126">
        <f>$Q$8</f>
        <v>2013</v>
      </c>
      <c r="V180" s="1123">
        <f>Q174</f>
        <v>0</v>
      </c>
    </row>
    <row r="181" spans="1:22">
      <c r="A181" s="1142"/>
      <c r="B181" s="1148"/>
      <c r="C181" s="1149"/>
      <c r="D181" s="1149"/>
      <c r="E181" s="1149"/>
      <c r="F181" s="1149"/>
      <c r="G181" s="1149"/>
      <c r="H181" s="1149"/>
      <c r="I181" s="1150"/>
      <c r="J181" s="1162"/>
      <c r="K181" s="1134"/>
      <c r="L181" s="1124"/>
      <c r="M181" s="1138"/>
      <c r="N181" s="1151"/>
      <c r="O181" s="1138"/>
      <c r="P181" s="1181"/>
      <c r="Q181" s="1181"/>
      <c r="R181" s="1136"/>
      <c r="S181" s="1136"/>
      <c r="T181" s="1136"/>
      <c r="U181" s="1126"/>
      <c r="V181" s="1123"/>
    </row>
    <row r="182" spans="1:22">
      <c r="A182" s="1142"/>
      <c r="B182" s="1127" t="s">
        <v>378</v>
      </c>
      <c r="C182" s="1128"/>
      <c r="D182" s="1128"/>
      <c r="E182" s="1128"/>
      <c r="F182" s="1128"/>
      <c r="G182" s="1128"/>
      <c r="H182" s="1128"/>
      <c r="I182" s="1129"/>
      <c r="J182" s="1134"/>
      <c r="K182" s="1134"/>
      <c r="L182" s="1124"/>
      <c r="M182" s="1133" t="s">
        <v>156</v>
      </c>
      <c r="N182" s="1136">
        <f>SUM(P182:T185)</f>
        <v>9123</v>
      </c>
      <c r="O182" s="1138" t="s">
        <v>144</v>
      </c>
      <c r="P182" s="1151">
        <v>9123</v>
      </c>
      <c r="Q182" s="1151">
        <v>0</v>
      </c>
      <c r="R182" s="1136">
        <v>0</v>
      </c>
      <c r="S182" s="1136">
        <v>0</v>
      </c>
      <c r="T182" s="1136">
        <v>0</v>
      </c>
      <c r="U182" s="1126"/>
      <c r="V182" s="1123"/>
    </row>
    <row r="183" spans="1:22">
      <c r="A183" s="1142"/>
      <c r="B183" s="1127"/>
      <c r="C183" s="1128"/>
      <c r="D183" s="1128"/>
      <c r="E183" s="1128"/>
      <c r="F183" s="1128"/>
      <c r="G183" s="1128"/>
      <c r="H183" s="1128"/>
      <c r="I183" s="1129"/>
      <c r="J183" s="1134"/>
      <c r="K183" s="1134"/>
      <c r="L183" s="1124"/>
      <c r="M183" s="1134"/>
      <c r="N183" s="1136"/>
      <c r="O183" s="1138"/>
      <c r="P183" s="1180"/>
      <c r="Q183" s="1180"/>
      <c r="R183" s="1136"/>
      <c r="S183" s="1136"/>
      <c r="T183" s="1136"/>
      <c r="U183" s="1126"/>
      <c r="V183" s="1123"/>
    </row>
    <row r="184" spans="1:22">
      <c r="A184" s="1142"/>
      <c r="B184" s="1127"/>
      <c r="C184" s="1128"/>
      <c r="D184" s="1128"/>
      <c r="E184" s="1128"/>
      <c r="F184" s="1128"/>
      <c r="G184" s="1128"/>
      <c r="H184" s="1128"/>
      <c r="I184" s="1129"/>
      <c r="J184" s="1134"/>
      <c r="K184" s="1134"/>
      <c r="L184" s="1124"/>
      <c r="M184" s="1134"/>
      <c r="N184" s="1136"/>
      <c r="O184" s="1138"/>
      <c r="P184" s="1180"/>
      <c r="Q184" s="1180"/>
      <c r="R184" s="1136"/>
      <c r="S184" s="1136"/>
      <c r="T184" s="1136"/>
      <c r="U184" s="1126"/>
      <c r="V184" s="1123"/>
    </row>
    <row r="185" spans="1:22" ht="13.5" thickBot="1">
      <c r="A185" s="1154"/>
      <c r="B185" s="1130"/>
      <c r="C185" s="1131"/>
      <c r="D185" s="1131"/>
      <c r="E185" s="1131"/>
      <c r="F185" s="1131"/>
      <c r="G185" s="1131"/>
      <c r="H185" s="1131"/>
      <c r="I185" s="1132"/>
      <c r="J185" s="1135"/>
      <c r="K185" s="1135"/>
      <c r="L185" s="1125"/>
      <c r="M185" s="1135"/>
      <c r="N185" s="1137"/>
      <c r="O185" s="1139"/>
      <c r="P185" s="1182"/>
      <c r="Q185" s="1182"/>
      <c r="R185" s="1137"/>
      <c r="S185" s="1137"/>
      <c r="T185" s="1137"/>
      <c r="U185" s="1140"/>
      <c r="V185" s="1141"/>
    </row>
    <row r="186" spans="1:22" ht="13.5" thickTop="1">
      <c r="A186" s="891"/>
      <c r="B186" s="890"/>
      <c r="C186" s="890"/>
      <c r="D186" s="890"/>
      <c r="E186" s="890"/>
      <c r="F186" s="890"/>
      <c r="G186" s="890"/>
      <c r="H186" s="890"/>
      <c r="I186" s="890"/>
      <c r="J186" s="301"/>
      <c r="K186" s="301"/>
      <c r="L186" s="300"/>
      <c r="M186" s="301"/>
      <c r="N186" s="437"/>
      <c r="O186" s="301"/>
      <c r="P186" s="437"/>
      <c r="Q186" s="437"/>
      <c r="R186" s="437"/>
      <c r="S186" s="437"/>
      <c r="T186" s="437"/>
      <c r="U186" s="444"/>
      <c r="V186" s="438"/>
    </row>
    <row r="187" spans="1:22" ht="13.5" thickBot="1">
      <c r="A187" s="292"/>
      <c r="B187" s="293"/>
      <c r="C187" s="293"/>
      <c r="D187" s="293"/>
      <c r="E187" s="293"/>
      <c r="F187" s="293"/>
      <c r="G187" s="293"/>
      <c r="H187" s="293"/>
      <c r="I187" s="293"/>
      <c r="J187" s="296"/>
      <c r="K187" s="296"/>
      <c r="L187" s="297"/>
      <c r="M187" s="296"/>
      <c r="N187" s="298"/>
      <c r="O187" s="296"/>
      <c r="P187" s="298"/>
      <c r="Q187" s="298"/>
      <c r="R187" s="298"/>
      <c r="S187" s="298"/>
      <c r="T187" s="298"/>
      <c r="U187" s="298"/>
      <c r="V187" s="299"/>
    </row>
    <row r="188" spans="1:22" ht="13.5" thickTop="1">
      <c r="A188" s="1103" t="s">
        <v>172</v>
      </c>
      <c r="B188" s="1104"/>
      <c r="C188" s="1104"/>
      <c r="D188" s="1104"/>
      <c r="E188" s="1104"/>
      <c r="F188" s="1104"/>
      <c r="G188" s="1104"/>
      <c r="H188" s="1104"/>
      <c r="I188" s="1104"/>
      <c r="J188" s="1104"/>
      <c r="K188" s="1105"/>
      <c r="L188" s="1245">
        <f>SUM(N188,L192)</f>
        <v>103026044.18000001</v>
      </c>
      <c r="M188" s="1247" t="s">
        <v>152</v>
      </c>
      <c r="N188" s="1027">
        <f>SUM(N192:N199)</f>
        <v>97166242.400000006</v>
      </c>
      <c r="O188" s="1044" t="s">
        <v>144</v>
      </c>
      <c r="P188" s="1250">
        <f>IF(SUM(P192:P196)=(P18+P57+P161+P135+P122+P109+P96+P83+P70+P44+P31+P148+P174),SUM(P192:P196),"błąd")</f>
        <v>9166747</v>
      </c>
      <c r="Q188" s="1250">
        <f>IF(SUM(Q192:Q196)=(Q18+Q57+Q161+Q135+Q122+Q109+Q96+Q83+Q70+Q44+Q31+Q148+Q174),SUM(Q192:Q196),"błąd")</f>
        <v>46420290</v>
      </c>
      <c r="R188" s="1250">
        <f>IF(SUM(R192:R196)=(R18+R57+R161+R135+R122+R109+R96+R83+R70+R44+R31+R148+R174),SUM(R192:R196),"błąd")</f>
        <v>37033180.93</v>
      </c>
      <c r="S188" s="1250">
        <f>IF(SUM(S192:S196)=(S18+S57+S161+S135+S122+S109+S96+S83+S70+S44+S31+S148+S174),SUM(S192:S196),"błąd")</f>
        <v>4546024.47</v>
      </c>
      <c r="T188" s="1250">
        <f>IF(SUM(T192:T199)=(T135+T122+T109+T96+T83+T70+T44+T31+T148),SUM(T192:T199),"błąd")</f>
        <v>0</v>
      </c>
      <c r="U188" s="1029"/>
      <c r="V188" s="1030"/>
    </row>
    <row r="189" spans="1:22">
      <c r="A189" s="1106"/>
      <c r="B189" s="1107"/>
      <c r="C189" s="1107"/>
      <c r="D189" s="1107"/>
      <c r="E189" s="1107"/>
      <c r="F189" s="1107"/>
      <c r="G189" s="1107"/>
      <c r="H189" s="1107"/>
      <c r="I189" s="1107"/>
      <c r="J189" s="1107"/>
      <c r="K189" s="1108"/>
      <c r="L189" s="1246"/>
      <c r="M189" s="1248"/>
      <c r="N189" s="1028"/>
      <c r="O189" s="1036"/>
      <c r="P189" s="1251"/>
      <c r="Q189" s="1251"/>
      <c r="R189" s="1251"/>
      <c r="S189" s="1251"/>
      <c r="T189" s="1251"/>
      <c r="U189" s="1031"/>
      <c r="V189" s="1032"/>
    </row>
    <row r="190" spans="1:22">
      <c r="A190" s="1106"/>
      <c r="B190" s="1107"/>
      <c r="C190" s="1107"/>
      <c r="D190" s="1107"/>
      <c r="E190" s="1107"/>
      <c r="F190" s="1107"/>
      <c r="G190" s="1107"/>
      <c r="H190" s="1107"/>
      <c r="I190" s="1107"/>
      <c r="J190" s="1107"/>
      <c r="K190" s="1108"/>
      <c r="L190" s="1246"/>
      <c r="M190" s="1248"/>
      <c r="N190" s="1028"/>
      <c r="O190" s="1036"/>
      <c r="P190" s="1251"/>
      <c r="Q190" s="1251"/>
      <c r="R190" s="1251"/>
      <c r="S190" s="1251"/>
      <c r="T190" s="1251"/>
      <c r="U190" s="1031"/>
      <c r="V190" s="1032"/>
    </row>
    <row r="191" spans="1:22">
      <c r="A191" s="1106"/>
      <c r="B191" s="1107"/>
      <c r="C191" s="1107"/>
      <c r="D191" s="1107"/>
      <c r="E191" s="1107"/>
      <c r="F191" s="1107"/>
      <c r="G191" s="1107"/>
      <c r="H191" s="1107"/>
      <c r="I191" s="1107"/>
      <c r="J191" s="1107"/>
      <c r="K191" s="1108"/>
      <c r="L191" s="1246"/>
      <c r="M191" s="1249"/>
      <c r="N191" s="1116"/>
      <c r="O191" s="1036"/>
      <c r="P191" s="1252"/>
      <c r="Q191" s="1252"/>
      <c r="R191" s="1252"/>
      <c r="S191" s="1252"/>
      <c r="T191" s="1252"/>
      <c r="U191" s="1031"/>
      <c r="V191" s="1032"/>
    </row>
    <row r="192" spans="1:22">
      <c r="A192" s="1106"/>
      <c r="B192" s="1107"/>
      <c r="C192" s="1107"/>
      <c r="D192" s="1107"/>
      <c r="E192" s="1107"/>
      <c r="F192" s="1107"/>
      <c r="G192" s="1107"/>
      <c r="H192" s="1107"/>
      <c r="I192" s="1107"/>
      <c r="J192" s="1107"/>
      <c r="K192" s="1108"/>
      <c r="L192" s="1240">
        <f>SUM(L63,L24,L166+L37,L50,L76,L89,L102,L115,L128,L141,L154,L180)</f>
        <v>5859801.7800000003</v>
      </c>
      <c r="M192" s="1242" t="s">
        <v>155</v>
      </c>
      <c r="N192" s="1069">
        <f>SUM(P192:T195)</f>
        <v>75521375.689999998</v>
      </c>
      <c r="O192" s="1036" t="s">
        <v>144</v>
      </c>
      <c r="P192" s="1048">
        <f>P22+P35+P48+P61+P74+P87+P100+P113+P126+P139+P152+P165+P178</f>
        <v>5064083</v>
      </c>
      <c r="Q192" s="1048">
        <f t="shared" ref="Q192:S192" si="18">Q22+Q35+Q48+Q61+Q74+Q87+Q100+Q113+Q126+Q139+Q152+Q165+Q178</f>
        <v>35092855</v>
      </c>
      <c r="R192" s="1048">
        <f t="shared" si="18"/>
        <v>31500316.890000001</v>
      </c>
      <c r="S192" s="1048">
        <f t="shared" si="18"/>
        <v>3864120.8</v>
      </c>
      <c r="T192" s="1048">
        <f t="shared" ref="T192" si="19">T35+T48+T74+T87+T100+T113+T126+T139</f>
        <v>0</v>
      </c>
      <c r="U192" s="1031"/>
      <c r="V192" s="1032"/>
    </row>
    <row r="193" spans="1:22">
      <c r="A193" s="1106"/>
      <c r="B193" s="1107"/>
      <c r="C193" s="1107"/>
      <c r="D193" s="1107"/>
      <c r="E193" s="1107"/>
      <c r="F193" s="1107"/>
      <c r="G193" s="1107"/>
      <c r="H193" s="1107"/>
      <c r="I193" s="1107"/>
      <c r="J193" s="1107"/>
      <c r="K193" s="1108"/>
      <c r="L193" s="1240"/>
      <c r="M193" s="1243"/>
      <c r="N193" s="1069"/>
      <c r="O193" s="1036"/>
      <c r="P193" s="1049"/>
      <c r="Q193" s="1049"/>
      <c r="R193" s="1049"/>
      <c r="S193" s="1049"/>
      <c r="T193" s="1049"/>
      <c r="U193" s="1031"/>
      <c r="V193" s="1032"/>
    </row>
    <row r="194" spans="1:22">
      <c r="A194" s="1106"/>
      <c r="B194" s="1107"/>
      <c r="C194" s="1107"/>
      <c r="D194" s="1107"/>
      <c r="E194" s="1107"/>
      <c r="F194" s="1107"/>
      <c r="G194" s="1107"/>
      <c r="H194" s="1107"/>
      <c r="I194" s="1107"/>
      <c r="J194" s="1107"/>
      <c r="K194" s="1108"/>
      <c r="L194" s="1240"/>
      <c r="M194" s="1243"/>
      <c r="N194" s="1069"/>
      <c r="O194" s="1036"/>
      <c r="P194" s="1049"/>
      <c r="Q194" s="1049"/>
      <c r="R194" s="1049"/>
      <c r="S194" s="1049"/>
      <c r="T194" s="1049"/>
      <c r="U194" s="1031"/>
      <c r="V194" s="1032"/>
    </row>
    <row r="195" spans="1:22">
      <c r="A195" s="1106"/>
      <c r="B195" s="1107"/>
      <c r="C195" s="1107"/>
      <c r="D195" s="1107"/>
      <c r="E195" s="1107"/>
      <c r="F195" s="1107"/>
      <c r="G195" s="1107"/>
      <c r="H195" s="1107"/>
      <c r="I195" s="1107"/>
      <c r="J195" s="1107"/>
      <c r="K195" s="1108"/>
      <c r="L195" s="1240"/>
      <c r="M195" s="1244"/>
      <c r="N195" s="1069"/>
      <c r="O195" s="1036"/>
      <c r="P195" s="1086"/>
      <c r="Q195" s="1086"/>
      <c r="R195" s="1086"/>
      <c r="S195" s="1086"/>
      <c r="T195" s="1086"/>
      <c r="U195" s="1031"/>
      <c r="V195" s="1032"/>
    </row>
    <row r="196" spans="1:22">
      <c r="A196" s="1106"/>
      <c r="B196" s="1107"/>
      <c r="C196" s="1107"/>
      <c r="D196" s="1107"/>
      <c r="E196" s="1107"/>
      <c r="F196" s="1107"/>
      <c r="G196" s="1107"/>
      <c r="H196" s="1107"/>
      <c r="I196" s="1107"/>
      <c r="J196" s="1107"/>
      <c r="K196" s="1108"/>
      <c r="L196" s="1240"/>
      <c r="M196" s="1242" t="s">
        <v>156</v>
      </c>
      <c r="N196" s="1069">
        <f>SUM(P196:T199)</f>
        <v>21644866.710000001</v>
      </c>
      <c r="O196" s="1036" t="s">
        <v>144</v>
      </c>
      <c r="P196" s="1048">
        <f>P26+P39+P52+P65+P78+P91+P104+P117++P130+P143+P156+P169+P182</f>
        <v>4102664</v>
      </c>
      <c r="Q196" s="1048">
        <f>Q26+Q39+Q52+Q65+Q78+Q91+Q104+Q117++Q130+Q143+Q156+Q169+Q182</f>
        <v>11327435</v>
      </c>
      <c r="R196" s="1048">
        <f>R26+R39+R52+R65+R78+R91+R104+R117++R130+R143+R156+R169+R182</f>
        <v>5532864.04</v>
      </c>
      <c r="S196" s="1048">
        <f>S26+S39+S52+S65+S78+S91+S104+S117++S130+S143+S156+S169+S182</f>
        <v>681903.67</v>
      </c>
      <c r="T196" s="1048">
        <f t="shared" ref="T196" si="20">T39+T52+T78+T91+T104+T117++T130+T143</f>
        <v>0</v>
      </c>
      <c r="U196" s="1031"/>
      <c r="V196" s="1032"/>
    </row>
    <row r="197" spans="1:22">
      <c r="A197" s="1106"/>
      <c r="B197" s="1107"/>
      <c r="C197" s="1107"/>
      <c r="D197" s="1107"/>
      <c r="E197" s="1107"/>
      <c r="F197" s="1107"/>
      <c r="G197" s="1107"/>
      <c r="H197" s="1107"/>
      <c r="I197" s="1107"/>
      <c r="J197" s="1107"/>
      <c r="K197" s="1108"/>
      <c r="L197" s="1240"/>
      <c r="M197" s="1243"/>
      <c r="N197" s="1069"/>
      <c r="O197" s="1036"/>
      <c r="P197" s="1049"/>
      <c r="Q197" s="1049"/>
      <c r="R197" s="1049"/>
      <c r="S197" s="1049"/>
      <c r="T197" s="1049"/>
      <c r="U197" s="1031"/>
      <c r="V197" s="1032"/>
    </row>
    <row r="198" spans="1:22">
      <c r="A198" s="1106"/>
      <c r="B198" s="1107"/>
      <c r="C198" s="1107"/>
      <c r="D198" s="1107"/>
      <c r="E198" s="1107"/>
      <c r="F198" s="1107"/>
      <c r="G198" s="1107"/>
      <c r="H198" s="1107"/>
      <c r="I198" s="1107"/>
      <c r="J198" s="1107"/>
      <c r="K198" s="1108"/>
      <c r="L198" s="1240"/>
      <c r="M198" s="1243"/>
      <c r="N198" s="1069"/>
      <c r="O198" s="1036"/>
      <c r="P198" s="1049"/>
      <c r="Q198" s="1049"/>
      <c r="R198" s="1049"/>
      <c r="S198" s="1049"/>
      <c r="T198" s="1049"/>
      <c r="U198" s="1031"/>
      <c r="V198" s="1032"/>
    </row>
    <row r="199" spans="1:22" ht="13.5" thickBot="1">
      <c r="A199" s="1109"/>
      <c r="B199" s="1110"/>
      <c r="C199" s="1110"/>
      <c r="D199" s="1110"/>
      <c r="E199" s="1110"/>
      <c r="F199" s="1110"/>
      <c r="G199" s="1110"/>
      <c r="H199" s="1110"/>
      <c r="I199" s="1110"/>
      <c r="J199" s="1110"/>
      <c r="K199" s="1111"/>
      <c r="L199" s="1241"/>
      <c r="M199" s="1253"/>
      <c r="N199" s="1070"/>
      <c r="O199" s="1051"/>
      <c r="P199" s="1050"/>
      <c r="Q199" s="1050"/>
      <c r="R199" s="1050"/>
      <c r="S199" s="1050"/>
      <c r="T199" s="1050"/>
      <c r="U199" s="1238"/>
      <c r="V199" s="1239"/>
    </row>
    <row r="200" spans="1:22" ht="13.5" thickTop="1">
      <c r="A200" s="292"/>
      <c r="B200" s="293"/>
      <c r="C200" s="293"/>
      <c r="D200" s="293"/>
      <c r="E200" s="293"/>
      <c r="F200" s="293"/>
      <c r="G200" s="293"/>
      <c r="H200" s="293"/>
      <c r="I200" s="293"/>
      <c r="J200" s="296"/>
      <c r="K200" s="296"/>
      <c r="L200" s="297"/>
      <c r="M200" s="296"/>
      <c r="N200" s="298"/>
      <c r="O200" s="296"/>
      <c r="P200" s="298"/>
      <c r="Q200" s="298"/>
      <c r="R200" s="298"/>
      <c r="S200" s="298"/>
      <c r="T200" s="298"/>
      <c r="U200" s="298"/>
      <c r="V200" s="299"/>
    </row>
    <row r="201" spans="1:22">
      <c r="A201" s="292"/>
      <c r="B201" s="293"/>
      <c r="C201" s="293"/>
      <c r="D201" s="293"/>
      <c r="E201" s="293"/>
      <c r="F201" s="293"/>
      <c r="G201" s="293"/>
      <c r="H201" s="293"/>
      <c r="I201" s="293"/>
      <c r="J201" s="296"/>
      <c r="K201" s="296"/>
      <c r="L201" s="297"/>
      <c r="M201" s="296"/>
      <c r="N201" s="298"/>
      <c r="O201" s="296"/>
      <c r="P201" s="298"/>
      <c r="Q201" s="298"/>
      <c r="R201" s="298"/>
      <c r="S201" s="298"/>
      <c r="T201" s="298"/>
      <c r="U201" s="298"/>
      <c r="V201" s="299"/>
    </row>
    <row r="202" spans="1:22">
      <c r="A202" s="292"/>
      <c r="B202" s="293"/>
      <c r="C202" s="293"/>
      <c r="D202" s="293"/>
      <c r="E202" s="293"/>
      <c r="F202" s="293"/>
      <c r="G202" s="293"/>
      <c r="H202" s="293"/>
      <c r="I202" s="293"/>
      <c r="J202" s="296"/>
      <c r="K202" s="296"/>
      <c r="L202" s="297"/>
      <c r="M202" s="296"/>
      <c r="N202" s="298"/>
      <c r="O202" s="296"/>
      <c r="P202" s="298"/>
      <c r="Q202" s="298"/>
      <c r="R202" s="298"/>
      <c r="S202" s="298"/>
      <c r="T202" s="298"/>
      <c r="U202" s="298"/>
      <c r="V202" s="299"/>
    </row>
    <row r="203" spans="1:22">
      <c r="A203" s="292"/>
      <c r="B203" s="293"/>
      <c r="C203" s="293"/>
      <c r="D203" s="293"/>
      <c r="E203" s="293"/>
      <c r="F203" s="293"/>
      <c r="G203" s="293"/>
      <c r="H203" s="293"/>
      <c r="I203" s="293"/>
      <c r="J203" s="296"/>
      <c r="K203" s="296"/>
      <c r="L203" s="297"/>
      <c r="M203" s="296"/>
      <c r="N203" s="298"/>
      <c r="O203" s="296"/>
      <c r="P203" s="298"/>
      <c r="Q203" s="298"/>
      <c r="R203" s="298"/>
      <c r="S203" s="298"/>
      <c r="T203" s="298"/>
      <c r="U203" s="298"/>
      <c r="V203" s="299"/>
    </row>
    <row r="204" spans="1:22">
      <c r="A204" s="292"/>
      <c r="B204" s="293"/>
      <c r="C204" s="293"/>
      <c r="D204" s="293"/>
      <c r="E204" s="293"/>
      <c r="F204" s="293"/>
      <c r="G204" s="293"/>
      <c r="H204" s="293"/>
      <c r="I204" s="293"/>
      <c r="J204" s="296"/>
      <c r="K204" s="296"/>
      <c r="L204" s="297"/>
      <c r="M204" s="296"/>
      <c r="N204" s="298"/>
      <c r="O204" s="296"/>
      <c r="P204" s="298"/>
      <c r="Q204" s="298"/>
      <c r="R204" s="298"/>
      <c r="S204" s="298"/>
      <c r="T204" s="298"/>
      <c r="U204" s="298"/>
      <c r="V204" s="299"/>
    </row>
    <row r="205" spans="1:22">
      <c r="A205" s="292"/>
      <c r="B205" s="293"/>
      <c r="C205" s="293"/>
      <c r="D205" s="293"/>
      <c r="E205" s="293"/>
      <c r="F205" s="293"/>
      <c r="G205" s="293"/>
      <c r="H205" s="293"/>
      <c r="I205" s="293"/>
      <c r="J205" s="296"/>
      <c r="K205" s="296"/>
      <c r="L205" s="297"/>
      <c r="M205" s="296"/>
      <c r="N205" s="298"/>
      <c r="O205" s="296"/>
      <c r="P205" s="298"/>
      <c r="Q205" s="298"/>
      <c r="R205" s="298"/>
      <c r="S205" s="298"/>
      <c r="T205" s="298"/>
      <c r="U205" s="298"/>
      <c r="V205" s="299"/>
    </row>
    <row r="206" spans="1:22">
      <c r="A206" s="292"/>
      <c r="B206" s="293"/>
      <c r="C206" s="293"/>
      <c r="D206" s="293"/>
      <c r="E206" s="293"/>
      <c r="F206" s="293"/>
      <c r="G206" s="293"/>
      <c r="H206" s="293"/>
      <c r="I206" s="293"/>
      <c r="J206" s="296"/>
      <c r="K206" s="296"/>
      <c r="L206" s="297"/>
      <c r="M206" s="296"/>
      <c r="N206" s="298"/>
      <c r="O206" s="296"/>
      <c r="P206" s="298"/>
      <c r="Q206" s="298"/>
      <c r="R206" s="298"/>
      <c r="S206" s="298"/>
      <c r="T206" s="298"/>
      <c r="U206" s="298"/>
      <c r="V206" s="299"/>
    </row>
    <row r="207" spans="1:22">
      <c r="A207" s="292"/>
      <c r="B207" s="293"/>
      <c r="C207" s="293"/>
      <c r="D207" s="293"/>
      <c r="E207" s="293"/>
      <c r="F207" s="293"/>
      <c r="G207" s="293"/>
      <c r="H207" s="293"/>
      <c r="I207" s="293"/>
      <c r="J207" s="296"/>
      <c r="K207" s="296"/>
      <c r="L207" s="297"/>
      <c r="M207" s="296"/>
      <c r="N207" s="298"/>
      <c r="O207" s="296"/>
      <c r="P207" s="298"/>
      <c r="Q207" s="298"/>
      <c r="R207" s="298"/>
      <c r="S207" s="298"/>
      <c r="T207" s="298"/>
      <c r="U207" s="298"/>
      <c r="V207" s="299"/>
    </row>
    <row r="208" spans="1:22">
      <c r="A208" s="292"/>
      <c r="B208" s="293"/>
      <c r="C208" s="293"/>
      <c r="D208" s="293"/>
      <c r="E208" s="293"/>
      <c r="F208" s="293"/>
      <c r="G208" s="293"/>
      <c r="H208" s="293"/>
      <c r="I208" s="293"/>
      <c r="J208" s="296"/>
      <c r="K208" s="296"/>
      <c r="L208" s="298"/>
      <c r="M208" s="296"/>
      <c r="N208" s="298"/>
      <c r="O208" s="296"/>
      <c r="P208" s="298"/>
      <c r="Q208" s="298"/>
      <c r="R208" s="298"/>
      <c r="S208" s="298"/>
      <c r="T208" s="298"/>
      <c r="U208" s="298"/>
      <c r="V208" s="299"/>
    </row>
    <row r="209" spans="1:22">
      <c r="A209" s="292"/>
      <c r="B209" s="304"/>
      <c r="C209" s="304"/>
      <c r="D209" s="304"/>
      <c r="E209" s="304"/>
      <c r="F209" s="304"/>
      <c r="G209" s="304"/>
      <c r="H209" s="304"/>
      <c r="I209" s="304"/>
      <c r="J209" s="292"/>
      <c r="K209" s="292"/>
      <c r="L209" s="292"/>
      <c r="M209" s="292"/>
      <c r="N209" s="292"/>
      <c r="O209" s="292"/>
      <c r="P209" s="294"/>
      <c r="Q209" s="294"/>
      <c r="R209" s="305"/>
      <c r="S209" s="294"/>
      <c r="T209" s="294"/>
      <c r="U209" s="294"/>
      <c r="V209" s="295"/>
    </row>
    <row r="210" spans="1:22">
      <c r="A210" s="292"/>
      <c r="B210" s="304"/>
      <c r="C210" s="304"/>
      <c r="D210" s="304"/>
      <c r="E210" s="304"/>
      <c r="F210" s="304"/>
      <c r="G210" s="304"/>
      <c r="H210" s="304"/>
      <c r="I210" s="304"/>
      <c r="J210" s="292"/>
      <c r="K210" s="292"/>
      <c r="L210" s="292"/>
      <c r="M210" s="292"/>
      <c r="N210" s="292"/>
      <c r="O210" s="292"/>
      <c r="P210" s="294"/>
      <c r="Q210" s="294"/>
      <c r="R210" s="305"/>
      <c r="S210" s="294"/>
      <c r="T210" s="294"/>
      <c r="U210" s="294"/>
      <c r="V210" s="295"/>
    </row>
    <row r="211" spans="1:22">
      <c r="A211" s="292"/>
      <c r="B211" s="304"/>
      <c r="C211" s="304"/>
      <c r="D211" s="304"/>
      <c r="E211" s="304"/>
      <c r="F211" s="304"/>
      <c r="G211" s="304"/>
      <c r="H211" s="304"/>
      <c r="I211" s="304"/>
      <c r="J211" s="292"/>
      <c r="K211" s="292"/>
      <c r="L211" s="292"/>
      <c r="M211" s="292"/>
      <c r="N211" s="292"/>
      <c r="O211" s="292"/>
      <c r="P211" s="294"/>
      <c r="Q211" s="294"/>
      <c r="R211" s="305"/>
      <c r="S211" s="294"/>
      <c r="T211" s="294"/>
      <c r="U211" s="294"/>
      <c r="V211" s="295"/>
    </row>
    <row r="212" spans="1:22">
      <c r="A212" s="292"/>
      <c r="B212" s="304"/>
      <c r="C212" s="304"/>
      <c r="D212" s="304"/>
      <c r="E212" s="304"/>
      <c r="F212" s="304"/>
      <c r="G212" s="304"/>
      <c r="H212" s="304"/>
      <c r="I212" s="304"/>
      <c r="J212" s="292"/>
      <c r="K212" s="292"/>
      <c r="L212" s="292"/>
      <c r="M212" s="292"/>
      <c r="N212" s="292"/>
      <c r="O212" s="292"/>
      <c r="P212" s="294"/>
      <c r="Q212" s="294"/>
      <c r="R212" s="305"/>
      <c r="S212" s="294"/>
      <c r="T212" s="294"/>
      <c r="U212" s="294"/>
      <c r="V212" s="295"/>
    </row>
    <row r="213" spans="1:22">
      <c r="A213" s="439"/>
      <c r="B213" s="440"/>
      <c r="C213" s="440"/>
      <c r="D213" s="440"/>
      <c r="E213" s="440"/>
      <c r="F213" s="440"/>
      <c r="G213" s="440"/>
      <c r="H213" s="440"/>
      <c r="I213" s="440"/>
      <c r="J213" s="44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441"/>
    </row>
    <row r="215" spans="1:22">
      <c r="M215" s="309"/>
      <c r="N215" s="309"/>
      <c r="O215" s="309"/>
      <c r="R215" s="309"/>
      <c r="S215" s="309"/>
      <c r="T215" s="309"/>
      <c r="U215" s="309"/>
    </row>
    <row r="216" spans="1:22">
      <c r="M216" s="309"/>
      <c r="N216" s="309"/>
      <c r="O216" s="309"/>
      <c r="P216" s="309"/>
      <c r="Q216" s="309"/>
      <c r="R216" s="309"/>
      <c r="S216" s="309"/>
      <c r="T216" s="309"/>
      <c r="U216" s="309"/>
      <c r="V216" s="310"/>
    </row>
    <row r="217" spans="1:22">
      <c r="M217" s="309"/>
      <c r="N217" s="309"/>
      <c r="O217" s="309"/>
      <c r="R217" s="309"/>
      <c r="S217" s="309"/>
      <c r="T217" s="309"/>
      <c r="U217" s="309"/>
    </row>
    <row r="218" spans="1:22">
      <c r="M218" s="309"/>
      <c r="N218" s="309"/>
      <c r="O218" s="309"/>
      <c r="P218" s="309"/>
      <c r="Q218" s="309"/>
      <c r="R218" s="309"/>
      <c r="S218" s="309"/>
      <c r="T218" s="309"/>
      <c r="U218" s="309"/>
      <c r="V218" s="310"/>
    </row>
  </sheetData>
  <sheetProtection password="CC56" sheet="1" objects="1" scenarios="1" insertColumns="0" insertRows="0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653">
    <mergeCell ref="R22:R25"/>
    <mergeCell ref="S22:S25"/>
    <mergeCell ref="T22:T25"/>
    <mergeCell ref="U22:U23"/>
    <mergeCell ref="V22:V23"/>
    <mergeCell ref="L24:L29"/>
    <mergeCell ref="U24:U25"/>
    <mergeCell ref="V24:V25"/>
    <mergeCell ref="B26:I29"/>
    <mergeCell ref="M26:M29"/>
    <mergeCell ref="N26:N29"/>
    <mergeCell ref="O26:O29"/>
    <mergeCell ref="P26:P29"/>
    <mergeCell ref="Q26:Q29"/>
    <mergeCell ref="R26:R29"/>
    <mergeCell ref="S26:S29"/>
    <mergeCell ref="T26:T29"/>
    <mergeCell ref="U26:U27"/>
    <mergeCell ref="V26:V27"/>
    <mergeCell ref="U28:U29"/>
    <mergeCell ref="V28:V29"/>
    <mergeCell ref="S1:V1"/>
    <mergeCell ref="A18:A29"/>
    <mergeCell ref="B18:C19"/>
    <mergeCell ref="D18:E19"/>
    <mergeCell ref="F18:I19"/>
    <mergeCell ref="J18:J29"/>
    <mergeCell ref="K18:K29"/>
    <mergeCell ref="L18:L23"/>
    <mergeCell ref="M18:M21"/>
    <mergeCell ref="N18:N21"/>
    <mergeCell ref="O18:O21"/>
    <mergeCell ref="P18:P21"/>
    <mergeCell ref="Q18:Q21"/>
    <mergeCell ref="R18:R21"/>
    <mergeCell ref="S18:S21"/>
    <mergeCell ref="T18:T21"/>
    <mergeCell ref="U18:V21"/>
    <mergeCell ref="B20:C21"/>
    <mergeCell ref="D20:E21"/>
    <mergeCell ref="F20:I21"/>
    <mergeCell ref="B22:I25"/>
    <mergeCell ref="M22:M25"/>
    <mergeCell ref="N22:N25"/>
    <mergeCell ref="A2:V2"/>
    <mergeCell ref="O165:O168"/>
    <mergeCell ref="P165:P168"/>
    <mergeCell ref="Q165:Q168"/>
    <mergeCell ref="R165:R168"/>
    <mergeCell ref="S165:S168"/>
    <mergeCell ref="T165:T168"/>
    <mergeCell ref="U165:U166"/>
    <mergeCell ref="V165:V166"/>
    <mergeCell ref="L167:L172"/>
    <mergeCell ref="U167:U168"/>
    <mergeCell ref="V167:V168"/>
    <mergeCell ref="M169:M172"/>
    <mergeCell ref="N169:N172"/>
    <mergeCell ref="O169:O172"/>
    <mergeCell ref="P169:P172"/>
    <mergeCell ref="Q169:Q172"/>
    <mergeCell ref="R169:R172"/>
    <mergeCell ref="S169:S172"/>
    <mergeCell ref="T169:T172"/>
    <mergeCell ref="U169:U170"/>
    <mergeCell ref="V169:V170"/>
    <mergeCell ref="U171:U172"/>
    <mergeCell ref="V171:V172"/>
    <mergeCell ref="O161:O164"/>
    <mergeCell ref="P161:P164"/>
    <mergeCell ref="Q161:Q164"/>
    <mergeCell ref="R161:R164"/>
    <mergeCell ref="S161:S164"/>
    <mergeCell ref="T161:T164"/>
    <mergeCell ref="U161:V164"/>
    <mergeCell ref="B163:C164"/>
    <mergeCell ref="D163:E164"/>
    <mergeCell ref="F163:I164"/>
    <mergeCell ref="A161:A172"/>
    <mergeCell ref="B161:C162"/>
    <mergeCell ref="D161:E162"/>
    <mergeCell ref="F161:I162"/>
    <mergeCell ref="J161:J172"/>
    <mergeCell ref="K161:K172"/>
    <mergeCell ref="L161:L166"/>
    <mergeCell ref="M161:M164"/>
    <mergeCell ref="N161:N164"/>
    <mergeCell ref="B165:I168"/>
    <mergeCell ref="M165:M168"/>
    <mergeCell ref="N165:N168"/>
    <mergeCell ref="B169:I172"/>
    <mergeCell ref="O178:O181"/>
    <mergeCell ref="P178:P181"/>
    <mergeCell ref="Q178:Q181"/>
    <mergeCell ref="R178:R181"/>
    <mergeCell ref="S178:S181"/>
    <mergeCell ref="T178:T181"/>
    <mergeCell ref="U178:U179"/>
    <mergeCell ref="V178:V179"/>
    <mergeCell ref="L180:L185"/>
    <mergeCell ref="U180:U181"/>
    <mergeCell ref="V180:V181"/>
    <mergeCell ref="M182:M185"/>
    <mergeCell ref="N182:N185"/>
    <mergeCell ref="O182:O185"/>
    <mergeCell ref="P182:P185"/>
    <mergeCell ref="Q182:Q185"/>
    <mergeCell ref="R182:R185"/>
    <mergeCell ref="S182:S185"/>
    <mergeCell ref="T182:T185"/>
    <mergeCell ref="U182:U183"/>
    <mergeCell ref="V182:V183"/>
    <mergeCell ref="U184:U185"/>
    <mergeCell ref="V184:V185"/>
    <mergeCell ref="O174:O177"/>
    <mergeCell ref="P174:P177"/>
    <mergeCell ref="Q174:Q177"/>
    <mergeCell ref="R174:R177"/>
    <mergeCell ref="S174:S177"/>
    <mergeCell ref="T174:T177"/>
    <mergeCell ref="U174:V177"/>
    <mergeCell ref="B176:C177"/>
    <mergeCell ref="D176:E177"/>
    <mergeCell ref="F176:I177"/>
    <mergeCell ref="A174:A185"/>
    <mergeCell ref="B174:C175"/>
    <mergeCell ref="D174:E175"/>
    <mergeCell ref="F174:I175"/>
    <mergeCell ref="J174:J185"/>
    <mergeCell ref="K174:K185"/>
    <mergeCell ref="L174:L179"/>
    <mergeCell ref="M174:M177"/>
    <mergeCell ref="N174:N177"/>
    <mergeCell ref="B178:I181"/>
    <mergeCell ref="M178:M181"/>
    <mergeCell ref="N178:N181"/>
    <mergeCell ref="B182:I185"/>
    <mergeCell ref="U126:U127"/>
    <mergeCell ref="V126:V127"/>
    <mergeCell ref="L128:L133"/>
    <mergeCell ref="U128:U129"/>
    <mergeCell ref="V128:V129"/>
    <mergeCell ref="R130:R133"/>
    <mergeCell ref="S130:S133"/>
    <mergeCell ref="T130:T133"/>
    <mergeCell ref="U130:U131"/>
    <mergeCell ref="V130:V131"/>
    <mergeCell ref="U132:U133"/>
    <mergeCell ref="V132:V133"/>
    <mergeCell ref="Q192:Q195"/>
    <mergeCell ref="R192:R195"/>
    <mergeCell ref="A135:A146"/>
    <mergeCell ref="A148:A159"/>
    <mergeCell ref="O148:O151"/>
    <mergeCell ref="P148:P151"/>
    <mergeCell ref="Q148:Q151"/>
    <mergeCell ref="R148:R151"/>
    <mergeCell ref="U122:V125"/>
    <mergeCell ref="B124:C125"/>
    <mergeCell ref="D124:E125"/>
    <mergeCell ref="F124:I125"/>
    <mergeCell ref="M122:M125"/>
    <mergeCell ref="N122:N125"/>
    <mergeCell ref="O122:O125"/>
    <mergeCell ref="P122:P125"/>
    <mergeCell ref="Q122:Q125"/>
    <mergeCell ref="R122:R125"/>
    <mergeCell ref="S122:S125"/>
    <mergeCell ref="T122:T125"/>
    <mergeCell ref="B130:I133"/>
    <mergeCell ref="M130:M133"/>
    <mergeCell ref="N130:N133"/>
    <mergeCell ref="O130:O133"/>
    <mergeCell ref="S188:S191"/>
    <mergeCell ref="T188:T191"/>
    <mergeCell ref="B126:I129"/>
    <mergeCell ref="M126:M129"/>
    <mergeCell ref="N126:N129"/>
    <mergeCell ref="O126:O129"/>
    <mergeCell ref="P126:P129"/>
    <mergeCell ref="Q126:Q129"/>
    <mergeCell ref="B148:C149"/>
    <mergeCell ref="D148:E149"/>
    <mergeCell ref="F148:I149"/>
    <mergeCell ref="J148:J159"/>
    <mergeCell ref="K148:K159"/>
    <mergeCell ref="L148:L153"/>
    <mergeCell ref="M148:M151"/>
    <mergeCell ref="N148:N151"/>
    <mergeCell ref="B152:I155"/>
    <mergeCell ref="M152:M155"/>
    <mergeCell ref="N152:N155"/>
    <mergeCell ref="B156:I159"/>
    <mergeCell ref="J122:J133"/>
    <mergeCell ref="K122:K133"/>
    <mergeCell ref="L122:L127"/>
    <mergeCell ref="P130:P133"/>
    <mergeCell ref="U188:V199"/>
    <mergeCell ref="L192:L199"/>
    <mergeCell ref="M192:M195"/>
    <mergeCell ref="N192:N195"/>
    <mergeCell ref="O192:O195"/>
    <mergeCell ref="P192:P195"/>
    <mergeCell ref="A188:K199"/>
    <mergeCell ref="L188:L191"/>
    <mergeCell ref="M188:M191"/>
    <mergeCell ref="N188:N191"/>
    <mergeCell ref="O188:O191"/>
    <mergeCell ref="P188:P191"/>
    <mergeCell ref="S196:S199"/>
    <mergeCell ref="T196:T199"/>
    <mergeCell ref="M196:M199"/>
    <mergeCell ref="N196:N199"/>
    <mergeCell ref="O196:O199"/>
    <mergeCell ref="P196:P199"/>
    <mergeCell ref="Q196:Q199"/>
    <mergeCell ref="R196:R199"/>
    <mergeCell ref="S192:S195"/>
    <mergeCell ref="T192:T195"/>
    <mergeCell ref="Q188:Q191"/>
    <mergeCell ref="R188:R191"/>
    <mergeCell ref="U145:U146"/>
    <mergeCell ref="V145:V146"/>
    <mergeCell ref="L141:L146"/>
    <mergeCell ref="U141:U142"/>
    <mergeCell ref="V141:V142"/>
    <mergeCell ref="S139:S142"/>
    <mergeCell ref="T139:T142"/>
    <mergeCell ref="U139:U140"/>
    <mergeCell ref="V139:V140"/>
    <mergeCell ref="U135:V138"/>
    <mergeCell ref="B137:C138"/>
    <mergeCell ref="D137:E138"/>
    <mergeCell ref="F137:I138"/>
    <mergeCell ref="L135:L140"/>
    <mergeCell ref="M135:M138"/>
    <mergeCell ref="N135:N138"/>
    <mergeCell ref="O135:O138"/>
    <mergeCell ref="P135:P138"/>
    <mergeCell ref="Q135:Q138"/>
    <mergeCell ref="M139:M142"/>
    <mergeCell ref="N139:N142"/>
    <mergeCell ref="O139:O142"/>
    <mergeCell ref="P139:P142"/>
    <mergeCell ref="Q139:Q142"/>
    <mergeCell ref="R139:R142"/>
    <mergeCell ref="B135:C136"/>
    <mergeCell ref="D135:E136"/>
    <mergeCell ref="F135:I136"/>
    <mergeCell ref="J135:J146"/>
    <mergeCell ref="K135:K146"/>
    <mergeCell ref="B139:I142"/>
    <mergeCell ref="U143:U144"/>
    <mergeCell ref="V143:V144"/>
    <mergeCell ref="A109:A120"/>
    <mergeCell ref="R135:R138"/>
    <mergeCell ref="S135:S138"/>
    <mergeCell ref="T135:T138"/>
    <mergeCell ref="B143:I146"/>
    <mergeCell ref="M143:M146"/>
    <mergeCell ref="N143:N146"/>
    <mergeCell ref="O143:O146"/>
    <mergeCell ref="P143:P146"/>
    <mergeCell ref="Q143:Q146"/>
    <mergeCell ref="R143:R146"/>
    <mergeCell ref="S143:S146"/>
    <mergeCell ref="T143:T146"/>
    <mergeCell ref="R126:R129"/>
    <mergeCell ref="S126:S129"/>
    <mergeCell ref="R109:R112"/>
    <mergeCell ref="S109:S112"/>
    <mergeCell ref="T109:T112"/>
    <mergeCell ref="A122:A133"/>
    <mergeCell ref="B122:C123"/>
    <mergeCell ref="D122:E123"/>
    <mergeCell ref="F122:I123"/>
    <mergeCell ref="Q130:Q133"/>
    <mergeCell ref="T126:T129"/>
    <mergeCell ref="L115:L120"/>
    <mergeCell ref="U115:U116"/>
    <mergeCell ref="V115:V116"/>
    <mergeCell ref="B117:I120"/>
    <mergeCell ref="M117:M120"/>
    <mergeCell ref="N117:N120"/>
    <mergeCell ref="O117:O120"/>
    <mergeCell ref="P117:P120"/>
    <mergeCell ref="Q117:Q120"/>
    <mergeCell ref="R117:R120"/>
    <mergeCell ref="Q113:Q116"/>
    <mergeCell ref="R113:R116"/>
    <mergeCell ref="S113:S116"/>
    <mergeCell ref="T113:T116"/>
    <mergeCell ref="U113:U114"/>
    <mergeCell ref="V113:V114"/>
    <mergeCell ref="S117:S120"/>
    <mergeCell ref="T117:T120"/>
    <mergeCell ref="U109:V112"/>
    <mergeCell ref="B111:C112"/>
    <mergeCell ref="D111:E112"/>
    <mergeCell ref="F111:I112"/>
    <mergeCell ref="L109:L114"/>
    <mergeCell ref="M109:M112"/>
    <mergeCell ref="N109:N112"/>
    <mergeCell ref="O109:O112"/>
    <mergeCell ref="P109:P112"/>
    <mergeCell ref="Q109:Q112"/>
    <mergeCell ref="M113:M116"/>
    <mergeCell ref="N113:N116"/>
    <mergeCell ref="O113:O116"/>
    <mergeCell ref="P113:P116"/>
    <mergeCell ref="B109:C110"/>
    <mergeCell ref="D109:E110"/>
    <mergeCell ref="F109:I110"/>
    <mergeCell ref="J109:J120"/>
    <mergeCell ref="K109:K120"/>
    <mergeCell ref="B113:I116"/>
    <mergeCell ref="U117:U118"/>
    <mergeCell ref="V117:V118"/>
    <mergeCell ref="U119:U120"/>
    <mergeCell ref="V119:V120"/>
    <mergeCell ref="U104:U105"/>
    <mergeCell ref="V104:V105"/>
    <mergeCell ref="U106:U107"/>
    <mergeCell ref="V106:V107"/>
    <mergeCell ref="L102:L107"/>
    <mergeCell ref="U102:U103"/>
    <mergeCell ref="V102:V103"/>
    <mergeCell ref="S100:S103"/>
    <mergeCell ref="T100:T103"/>
    <mergeCell ref="U100:U101"/>
    <mergeCell ref="V100:V101"/>
    <mergeCell ref="U96:V99"/>
    <mergeCell ref="B98:C99"/>
    <mergeCell ref="D98:E99"/>
    <mergeCell ref="F98:I99"/>
    <mergeCell ref="L96:L101"/>
    <mergeCell ref="M96:M99"/>
    <mergeCell ref="N96:N99"/>
    <mergeCell ref="O96:O99"/>
    <mergeCell ref="P96:P99"/>
    <mergeCell ref="Q96:Q99"/>
    <mergeCell ref="M100:M103"/>
    <mergeCell ref="N100:N103"/>
    <mergeCell ref="O100:O103"/>
    <mergeCell ref="P100:P103"/>
    <mergeCell ref="Q100:Q103"/>
    <mergeCell ref="R100:R103"/>
    <mergeCell ref="A96:A107"/>
    <mergeCell ref="B96:C97"/>
    <mergeCell ref="D96:E97"/>
    <mergeCell ref="F96:I97"/>
    <mergeCell ref="J96:J107"/>
    <mergeCell ref="K96:K107"/>
    <mergeCell ref="B100:I103"/>
    <mergeCell ref="S91:S94"/>
    <mergeCell ref="T91:T94"/>
    <mergeCell ref="A83:A94"/>
    <mergeCell ref="R96:R99"/>
    <mergeCell ref="S96:S99"/>
    <mergeCell ref="T96:T99"/>
    <mergeCell ref="B104:I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R83:R86"/>
    <mergeCell ref="S83:S86"/>
    <mergeCell ref="V93:V94"/>
    <mergeCell ref="L89:L94"/>
    <mergeCell ref="U89:U90"/>
    <mergeCell ref="V89:V90"/>
    <mergeCell ref="B91:I94"/>
    <mergeCell ref="M91:M94"/>
    <mergeCell ref="N91:N94"/>
    <mergeCell ref="O91:O94"/>
    <mergeCell ref="P91:P94"/>
    <mergeCell ref="Q91:Q94"/>
    <mergeCell ref="R91:R94"/>
    <mergeCell ref="Q87:Q90"/>
    <mergeCell ref="R87:R90"/>
    <mergeCell ref="S87:S90"/>
    <mergeCell ref="T87:T90"/>
    <mergeCell ref="U87:U88"/>
    <mergeCell ref="V87:V88"/>
    <mergeCell ref="T83:T86"/>
    <mergeCell ref="U83:V86"/>
    <mergeCell ref="B85:C86"/>
    <mergeCell ref="D85:E86"/>
    <mergeCell ref="F85:I86"/>
    <mergeCell ref="L83:L88"/>
    <mergeCell ref="M83:M86"/>
    <mergeCell ref="N83:N86"/>
    <mergeCell ref="O83:O86"/>
    <mergeCell ref="P83:P86"/>
    <mergeCell ref="Q83:Q86"/>
    <mergeCell ref="M87:M90"/>
    <mergeCell ref="N87:N90"/>
    <mergeCell ref="O87:O90"/>
    <mergeCell ref="P87:P90"/>
    <mergeCell ref="B83:C84"/>
    <mergeCell ref="D83:E84"/>
    <mergeCell ref="F83:I84"/>
    <mergeCell ref="J83:J94"/>
    <mergeCell ref="K83:K94"/>
    <mergeCell ref="B87:I90"/>
    <mergeCell ref="U91:U92"/>
    <mergeCell ref="V91:V92"/>
    <mergeCell ref="U93:U94"/>
    <mergeCell ref="R74:R77"/>
    <mergeCell ref="U78:U79"/>
    <mergeCell ref="V78:V79"/>
    <mergeCell ref="U80:U81"/>
    <mergeCell ref="V80:V81"/>
    <mergeCell ref="L76:L81"/>
    <mergeCell ref="U76:U77"/>
    <mergeCell ref="V76:V77"/>
    <mergeCell ref="S74:S77"/>
    <mergeCell ref="T74:T77"/>
    <mergeCell ref="U74:U75"/>
    <mergeCell ref="V74:V75"/>
    <mergeCell ref="A70:A81"/>
    <mergeCell ref="B70:C71"/>
    <mergeCell ref="D70:E71"/>
    <mergeCell ref="F70:I71"/>
    <mergeCell ref="J70:J81"/>
    <mergeCell ref="K70:K81"/>
    <mergeCell ref="B74:I77"/>
    <mergeCell ref="S52:S55"/>
    <mergeCell ref="T52:T55"/>
    <mergeCell ref="A44:A55"/>
    <mergeCell ref="R70:R73"/>
    <mergeCell ref="S70:S73"/>
    <mergeCell ref="T70:T73"/>
    <mergeCell ref="B78:I81"/>
    <mergeCell ref="M78:M81"/>
    <mergeCell ref="N78:N81"/>
    <mergeCell ref="O78:O81"/>
    <mergeCell ref="P78:P81"/>
    <mergeCell ref="Q78:Q81"/>
    <mergeCell ref="R78:R81"/>
    <mergeCell ref="S78:S81"/>
    <mergeCell ref="T78:T81"/>
    <mergeCell ref="R44:R47"/>
    <mergeCell ref="S44:S47"/>
    <mergeCell ref="V54:V55"/>
    <mergeCell ref="L50:L55"/>
    <mergeCell ref="U50:U51"/>
    <mergeCell ref="V50:V51"/>
    <mergeCell ref="B52:I55"/>
    <mergeCell ref="M52:M55"/>
    <mergeCell ref="N52:N55"/>
    <mergeCell ref="O52:O55"/>
    <mergeCell ref="P52:P55"/>
    <mergeCell ref="Q52:Q55"/>
    <mergeCell ref="R52:R55"/>
    <mergeCell ref="Q48:Q51"/>
    <mergeCell ref="R48:R51"/>
    <mergeCell ref="S48:S51"/>
    <mergeCell ref="T48:T51"/>
    <mergeCell ref="U48:U49"/>
    <mergeCell ref="V48:V49"/>
    <mergeCell ref="T44:T47"/>
    <mergeCell ref="U44:V47"/>
    <mergeCell ref="B46:C47"/>
    <mergeCell ref="D46:E47"/>
    <mergeCell ref="F46:I47"/>
    <mergeCell ref="L44:L49"/>
    <mergeCell ref="M44:M47"/>
    <mergeCell ref="N44:N47"/>
    <mergeCell ref="O44:O47"/>
    <mergeCell ref="P44:P47"/>
    <mergeCell ref="Q44:Q47"/>
    <mergeCell ref="M48:M51"/>
    <mergeCell ref="N48:N51"/>
    <mergeCell ref="O48:O51"/>
    <mergeCell ref="P48:P51"/>
    <mergeCell ref="B44:C45"/>
    <mergeCell ref="D44:E45"/>
    <mergeCell ref="F44:I45"/>
    <mergeCell ref="J44:J55"/>
    <mergeCell ref="K44:K55"/>
    <mergeCell ref="B48:I51"/>
    <mergeCell ref="U52:U53"/>
    <mergeCell ref="V52:V53"/>
    <mergeCell ref="U54:U55"/>
    <mergeCell ref="R35:R38"/>
    <mergeCell ref="S39:S42"/>
    <mergeCell ref="T39:T42"/>
    <mergeCell ref="U39:U40"/>
    <mergeCell ref="V39:V40"/>
    <mergeCell ref="U41:U42"/>
    <mergeCell ref="V41:V42"/>
    <mergeCell ref="L37:L42"/>
    <mergeCell ref="U37:U38"/>
    <mergeCell ref="V37:V38"/>
    <mergeCell ref="S35:S38"/>
    <mergeCell ref="T35:T38"/>
    <mergeCell ref="U35:U36"/>
    <mergeCell ref="V35:V36"/>
    <mergeCell ref="R31:R34"/>
    <mergeCell ref="S31:S34"/>
    <mergeCell ref="T31:T34"/>
    <mergeCell ref="U31:V34"/>
    <mergeCell ref="B33:C34"/>
    <mergeCell ref="D33:E34"/>
    <mergeCell ref="F33:I34"/>
    <mergeCell ref="K31:K42"/>
    <mergeCell ref="L31:L36"/>
    <mergeCell ref="M31:M34"/>
    <mergeCell ref="N31:N34"/>
    <mergeCell ref="O31:O34"/>
    <mergeCell ref="P31:P34"/>
    <mergeCell ref="M35:M38"/>
    <mergeCell ref="N35:N38"/>
    <mergeCell ref="O35:O38"/>
    <mergeCell ref="P35:P38"/>
    <mergeCell ref="B39:I42"/>
    <mergeCell ref="M39:M42"/>
    <mergeCell ref="N39:N42"/>
    <mergeCell ref="O39:O42"/>
    <mergeCell ref="P39:P42"/>
    <mergeCell ref="Q39:Q42"/>
    <mergeCell ref="R39:R42"/>
    <mergeCell ref="A31:A42"/>
    <mergeCell ref="B31:C32"/>
    <mergeCell ref="D31:E32"/>
    <mergeCell ref="F31:I32"/>
    <mergeCell ref="J31:J42"/>
    <mergeCell ref="B35:I38"/>
    <mergeCell ref="P8:P16"/>
    <mergeCell ref="Q8:Q16"/>
    <mergeCell ref="Q31:Q34"/>
    <mergeCell ref="Q35:Q38"/>
    <mergeCell ref="O22:O25"/>
    <mergeCell ref="P22:P25"/>
    <mergeCell ref="Q22:Q25"/>
    <mergeCell ref="A3:V3"/>
    <mergeCell ref="A5:A16"/>
    <mergeCell ref="B5:C6"/>
    <mergeCell ref="D5:E6"/>
    <mergeCell ref="F5:I6"/>
    <mergeCell ref="J5:K10"/>
    <mergeCell ref="L5:L10"/>
    <mergeCell ref="M5:V7"/>
    <mergeCell ref="R8:R16"/>
    <mergeCell ref="S8:S16"/>
    <mergeCell ref="T8:T16"/>
    <mergeCell ref="U8:V16"/>
    <mergeCell ref="B7:C8"/>
    <mergeCell ref="D7:E8"/>
    <mergeCell ref="F7:I8"/>
    <mergeCell ref="M8:M16"/>
    <mergeCell ref="N8:N16"/>
    <mergeCell ref="O8:O16"/>
    <mergeCell ref="B9:I12"/>
    <mergeCell ref="J11:J16"/>
    <mergeCell ref="K11:K16"/>
    <mergeCell ref="L11:L16"/>
    <mergeCell ref="B13:I16"/>
    <mergeCell ref="O152:O155"/>
    <mergeCell ref="P152:P155"/>
    <mergeCell ref="Q152:Q155"/>
    <mergeCell ref="R152:R155"/>
    <mergeCell ref="S152:S155"/>
    <mergeCell ref="T152:T155"/>
    <mergeCell ref="U152:U153"/>
    <mergeCell ref="V152:V153"/>
    <mergeCell ref="L154:L159"/>
    <mergeCell ref="U154:U155"/>
    <mergeCell ref="V154:V155"/>
    <mergeCell ref="M156:M159"/>
    <mergeCell ref="N156:N159"/>
    <mergeCell ref="O156:O159"/>
    <mergeCell ref="P156:P159"/>
    <mergeCell ref="Q156:Q159"/>
    <mergeCell ref="R156:R159"/>
    <mergeCell ref="S156:S159"/>
    <mergeCell ref="B59:C60"/>
    <mergeCell ref="D59:E60"/>
    <mergeCell ref="F59:I60"/>
    <mergeCell ref="S148:S151"/>
    <mergeCell ref="T148:T151"/>
    <mergeCell ref="U148:V151"/>
    <mergeCell ref="B150:C151"/>
    <mergeCell ref="D150:E151"/>
    <mergeCell ref="F150:I151"/>
    <mergeCell ref="U70:V73"/>
    <mergeCell ref="B72:C73"/>
    <mergeCell ref="D72:E73"/>
    <mergeCell ref="F72:I73"/>
    <mergeCell ref="L70:L75"/>
    <mergeCell ref="M70:M73"/>
    <mergeCell ref="N70:N73"/>
    <mergeCell ref="O70:O73"/>
    <mergeCell ref="P70:P73"/>
    <mergeCell ref="Q70:Q73"/>
    <mergeCell ref="M74:M77"/>
    <mergeCell ref="N74:N77"/>
    <mergeCell ref="O74:O77"/>
    <mergeCell ref="P74:P77"/>
    <mergeCell ref="Q74:Q77"/>
    <mergeCell ref="R61:R64"/>
    <mergeCell ref="S61:S64"/>
    <mergeCell ref="T61:T64"/>
    <mergeCell ref="T156:T159"/>
    <mergeCell ref="U156:U157"/>
    <mergeCell ref="V156:V157"/>
    <mergeCell ref="U158:U159"/>
    <mergeCell ref="V158:V159"/>
    <mergeCell ref="A57:A68"/>
    <mergeCell ref="B57:C58"/>
    <mergeCell ref="D57:E58"/>
    <mergeCell ref="F57:I58"/>
    <mergeCell ref="J57:J68"/>
    <mergeCell ref="K57:K68"/>
    <mergeCell ref="L57:L62"/>
    <mergeCell ref="M57:M60"/>
    <mergeCell ref="N57:N60"/>
    <mergeCell ref="O57:O60"/>
    <mergeCell ref="P57:P60"/>
    <mergeCell ref="Q57:Q60"/>
    <mergeCell ref="R57:R60"/>
    <mergeCell ref="S57:S60"/>
    <mergeCell ref="T57:T60"/>
    <mergeCell ref="U57:V60"/>
    <mergeCell ref="U61:U62"/>
    <mergeCell ref="V61:V62"/>
    <mergeCell ref="L63:L68"/>
    <mergeCell ref="U63:U64"/>
    <mergeCell ref="V63:V64"/>
    <mergeCell ref="B65:I68"/>
    <mergeCell ref="M65:M68"/>
    <mergeCell ref="N65:N68"/>
    <mergeCell ref="O65:O68"/>
    <mergeCell ref="P65:P68"/>
    <mergeCell ref="Q65:Q68"/>
    <mergeCell ref="R65:R68"/>
    <mergeCell ref="S65:S68"/>
    <mergeCell ref="T65:T68"/>
    <mergeCell ref="U65:U66"/>
    <mergeCell ref="V65:V66"/>
    <mergeCell ref="U67:U68"/>
    <mergeCell ref="V67:V68"/>
    <mergeCell ref="B61:I64"/>
    <mergeCell ref="M61:M64"/>
    <mergeCell ref="N61:N64"/>
    <mergeCell ref="O61:O64"/>
    <mergeCell ref="P61:P64"/>
    <mergeCell ref="Q61:Q64"/>
  </mergeCells>
  <printOptions horizontalCentered="1"/>
  <pageMargins left="0.70866141732283461" right="0.70866141732283461" top="0.74803149606299213" bottom="0.74803149606299213" header="0.31496062992125984" footer="0.31496062992125984"/>
  <pageSetup paperSize="8" scale="58" orientation="portrait" r:id="rId1"/>
  <rowBreaks count="1" manualBreakCount="1"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05"/>
  <sheetViews>
    <sheetView view="pageBreakPreview" topLeftCell="I66" zoomScaleNormal="100" zoomScaleSheetLayoutView="100" workbookViewId="0">
      <selection activeCell="N28" sqref="N28:N29"/>
    </sheetView>
  </sheetViews>
  <sheetFormatPr defaultColWidth="0" defaultRowHeight="12.75"/>
  <cols>
    <col min="1" max="1" width="2.28515625" style="153" customWidth="1"/>
    <col min="2" max="2" width="2" style="154" customWidth="1"/>
    <col min="3" max="3" width="3.85546875" style="154" customWidth="1"/>
    <col min="4" max="4" width="2.5703125" style="154" customWidth="1"/>
    <col min="5" max="5" width="4.42578125" style="154" customWidth="1"/>
    <col min="6" max="6" width="4" style="155" customWidth="1"/>
    <col min="7" max="7" width="4.85546875" style="155" customWidth="1"/>
    <col min="8" max="8" width="4.28515625" style="155" customWidth="1"/>
    <col min="9" max="9" width="3.5703125" style="155" customWidth="1"/>
    <col min="10" max="10" width="4.140625" style="155" customWidth="1"/>
    <col min="11" max="11" width="3.7109375" style="155" customWidth="1"/>
    <col min="12" max="12" width="11.42578125" style="155" customWidth="1"/>
    <col min="13" max="13" width="6" style="155" customWidth="1"/>
    <col min="14" max="14" width="11.28515625" style="155" customWidth="1"/>
    <col min="15" max="15" width="1.85546875" style="155" customWidth="1"/>
    <col min="16" max="18" width="10.5703125" style="155" customWidth="1"/>
    <col min="19" max="20" width="10.7109375" style="155" customWidth="1"/>
    <col min="21" max="21" width="11" style="155" customWidth="1"/>
    <col min="22" max="22" width="10.5703125" style="155" customWidth="1"/>
    <col min="23" max="23" width="10.7109375" style="155" customWidth="1"/>
    <col min="24" max="24" width="10.85546875" style="155" customWidth="1"/>
    <col min="25" max="25" width="10.5703125" style="155" customWidth="1"/>
    <col min="26" max="26" width="9.5703125" style="155" customWidth="1"/>
    <col min="27" max="27" width="6" style="155" customWidth="1"/>
    <col min="28" max="28" width="2.7109375" customWidth="1"/>
    <col min="29" max="16384" width="9.140625" hidden="1"/>
  </cols>
  <sheetData>
    <row r="1" spans="1:27" ht="15">
      <c r="A1" s="136"/>
      <c r="B1" s="137"/>
      <c r="C1" s="137"/>
      <c r="D1" s="137"/>
      <c r="E1" s="137"/>
      <c r="F1" s="138"/>
      <c r="G1" s="138"/>
      <c r="H1" s="138"/>
      <c r="I1" s="138"/>
      <c r="J1" s="138"/>
      <c r="K1" s="138"/>
      <c r="L1" s="138"/>
      <c r="M1" s="135"/>
      <c r="N1" s="135"/>
      <c r="O1" s="135"/>
      <c r="P1" s="135"/>
      <c r="Q1" s="135"/>
      <c r="R1" s="135"/>
      <c r="S1" s="135"/>
      <c r="T1" s="135"/>
      <c r="U1" s="1257" t="s">
        <v>286</v>
      </c>
      <c r="V1" s="1257"/>
      <c r="W1" s="1257"/>
      <c r="X1" s="1257"/>
      <c r="Y1" s="1257"/>
      <c r="Z1" s="1257"/>
      <c r="AA1" s="1257"/>
    </row>
    <row r="2" spans="1:27" ht="14.25" customHeight="1">
      <c r="A2" s="136"/>
      <c r="B2" s="137"/>
      <c r="C2" s="137"/>
      <c r="D2" s="137"/>
      <c r="E2" s="137"/>
      <c r="F2" s="138"/>
      <c r="G2" s="138"/>
      <c r="H2" s="138"/>
      <c r="I2" s="138"/>
      <c r="J2" s="138"/>
      <c r="K2" s="138"/>
      <c r="L2" s="138"/>
      <c r="M2" s="135"/>
      <c r="N2" s="135"/>
      <c r="O2" s="135"/>
      <c r="P2" s="135"/>
      <c r="Q2" s="135"/>
      <c r="R2" s="135"/>
      <c r="S2" s="135"/>
      <c r="T2" s="135"/>
      <c r="U2" s="1257"/>
      <c r="V2" s="1257"/>
      <c r="W2" s="1257"/>
      <c r="X2" s="1257"/>
      <c r="Y2" s="1257"/>
      <c r="Z2" s="1257"/>
      <c r="AA2" s="1257"/>
    </row>
    <row r="3" spans="1:27" ht="15.75">
      <c r="A3" s="1258" t="s">
        <v>173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</row>
    <row r="4" spans="1:27" ht="16.5" thickBot="1">
      <c r="A4" s="1259" t="s">
        <v>205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</row>
    <row r="5" spans="1:27" ht="13.5" thickTop="1">
      <c r="A5" s="1260" t="s">
        <v>175</v>
      </c>
      <c r="B5" s="1264" t="s">
        <v>133</v>
      </c>
      <c r="C5" s="1264"/>
      <c r="D5" s="1266" t="s">
        <v>134</v>
      </c>
      <c r="E5" s="1266"/>
      <c r="F5" s="1264" t="s">
        <v>135</v>
      </c>
      <c r="G5" s="1264"/>
      <c r="H5" s="1264"/>
      <c r="I5" s="1264"/>
      <c r="J5" s="1268" t="s">
        <v>136</v>
      </c>
      <c r="K5" s="1269"/>
      <c r="L5" s="1274" t="s">
        <v>137</v>
      </c>
      <c r="M5" s="1268" t="s">
        <v>138</v>
      </c>
      <c r="N5" s="1276"/>
      <c r="O5" s="1276"/>
      <c r="P5" s="1277"/>
      <c r="Q5" s="1277"/>
      <c r="R5" s="1277"/>
      <c r="S5" s="1277"/>
      <c r="T5" s="1277"/>
      <c r="U5" s="1277"/>
      <c r="V5" s="1277"/>
      <c r="W5" s="1277"/>
      <c r="X5" s="1277"/>
      <c r="Y5" s="1277"/>
      <c r="Z5" s="1277"/>
      <c r="AA5" s="1278"/>
    </row>
    <row r="6" spans="1:27">
      <c r="A6" s="1261"/>
      <c r="B6" s="1265"/>
      <c r="C6" s="1265"/>
      <c r="D6" s="1267"/>
      <c r="E6" s="1267"/>
      <c r="F6" s="1265"/>
      <c r="G6" s="1265"/>
      <c r="H6" s="1265"/>
      <c r="I6" s="1265"/>
      <c r="J6" s="1270"/>
      <c r="K6" s="1271"/>
      <c r="L6" s="1275"/>
      <c r="M6" s="1279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1"/>
    </row>
    <row r="7" spans="1:27">
      <c r="A7" s="1261"/>
      <c r="B7" s="1291" t="s">
        <v>139</v>
      </c>
      <c r="C7" s="1293"/>
      <c r="D7" s="1305" t="s">
        <v>140</v>
      </c>
      <c r="E7" s="1306"/>
      <c r="F7" s="1291" t="s">
        <v>141</v>
      </c>
      <c r="G7" s="1292"/>
      <c r="H7" s="1292"/>
      <c r="I7" s="1293"/>
      <c r="J7" s="1270"/>
      <c r="K7" s="1271"/>
      <c r="L7" s="1275"/>
      <c r="M7" s="1282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4"/>
    </row>
    <row r="8" spans="1:27">
      <c r="A8" s="1261"/>
      <c r="B8" s="1272"/>
      <c r="C8" s="1273"/>
      <c r="D8" s="1307"/>
      <c r="E8" s="1308"/>
      <c r="F8" s="1272"/>
      <c r="G8" s="1295"/>
      <c r="H8" s="1295"/>
      <c r="I8" s="1273"/>
      <c r="J8" s="1270"/>
      <c r="K8" s="1271"/>
      <c r="L8" s="1275"/>
      <c r="M8" s="1309" t="s">
        <v>142</v>
      </c>
      <c r="N8" s="1302" t="s">
        <v>143</v>
      </c>
      <c r="O8" s="139"/>
      <c r="P8" s="1302">
        <v>2012</v>
      </c>
      <c r="Q8" s="1302">
        <v>2013</v>
      </c>
      <c r="R8" s="1285">
        <v>2014</v>
      </c>
      <c r="S8" s="1285">
        <v>2015</v>
      </c>
      <c r="T8" s="1285">
        <v>2016</v>
      </c>
      <c r="U8" s="1285">
        <v>2017</v>
      </c>
      <c r="V8" s="1285">
        <v>2018</v>
      </c>
      <c r="W8" s="1285">
        <v>2019</v>
      </c>
      <c r="X8" s="1285">
        <v>2020</v>
      </c>
      <c r="Y8" s="1285">
        <v>2021</v>
      </c>
      <c r="Z8" s="1285">
        <v>2022</v>
      </c>
      <c r="AA8" s="1288" t="s">
        <v>145</v>
      </c>
    </row>
    <row r="9" spans="1:27">
      <c r="A9" s="1262"/>
      <c r="B9" s="1291" t="s">
        <v>146</v>
      </c>
      <c r="C9" s="1292"/>
      <c r="D9" s="1292"/>
      <c r="E9" s="1292"/>
      <c r="F9" s="1292"/>
      <c r="G9" s="1292"/>
      <c r="H9" s="1292"/>
      <c r="I9" s="1293"/>
      <c r="J9" s="1270"/>
      <c r="K9" s="1271"/>
      <c r="L9" s="1275"/>
      <c r="M9" s="1310"/>
      <c r="N9" s="1303"/>
      <c r="O9" s="140"/>
      <c r="P9" s="1303"/>
      <c r="Q9" s="1303"/>
      <c r="R9" s="1286"/>
      <c r="S9" s="1286"/>
      <c r="T9" s="1286"/>
      <c r="U9" s="1286"/>
      <c r="V9" s="1286"/>
      <c r="W9" s="1286"/>
      <c r="X9" s="1286"/>
      <c r="Y9" s="1286"/>
      <c r="Z9" s="1286"/>
      <c r="AA9" s="1289"/>
    </row>
    <row r="10" spans="1:27">
      <c r="A10" s="1262"/>
      <c r="B10" s="1270"/>
      <c r="C10" s="1294"/>
      <c r="D10" s="1294"/>
      <c r="E10" s="1294"/>
      <c r="F10" s="1294"/>
      <c r="G10" s="1294"/>
      <c r="H10" s="1294"/>
      <c r="I10" s="1271"/>
      <c r="J10" s="1272"/>
      <c r="K10" s="1273"/>
      <c r="L10" s="1275"/>
      <c r="M10" s="1310"/>
      <c r="N10" s="1303"/>
      <c r="O10" s="140"/>
      <c r="P10" s="1303"/>
      <c r="Q10" s="1303"/>
      <c r="R10" s="1286"/>
      <c r="S10" s="1286"/>
      <c r="T10" s="1286"/>
      <c r="U10" s="1286"/>
      <c r="V10" s="1286"/>
      <c r="W10" s="1286"/>
      <c r="X10" s="1286"/>
      <c r="Y10" s="1286"/>
      <c r="Z10" s="1286"/>
      <c r="AA10" s="1289"/>
    </row>
    <row r="11" spans="1:27">
      <c r="A11" s="1262"/>
      <c r="B11" s="1270"/>
      <c r="C11" s="1294"/>
      <c r="D11" s="1294"/>
      <c r="E11" s="1294"/>
      <c r="F11" s="1294"/>
      <c r="G11" s="1294"/>
      <c r="H11" s="1294"/>
      <c r="I11" s="1271"/>
      <c r="J11" s="1296" t="s">
        <v>147</v>
      </c>
      <c r="K11" s="1296" t="s">
        <v>148</v>
      </c>
      <c r="L11" s="1265" t="s">
        <v>206</v>
      </c>
      <c r="M11" s="1310"/>
      <c r="N11" s="1303"/>
      <c r="O11" s="140"/>
      <c r="P11" s="1303"/>
      <c r="Q11" s="1303"/>
      <c r="R11" s="1286"/>
      <c r="S11" s="1286"/>
      <c r="T11" s="1286"/>
      <c r="U11" s="1286"/>
      <c r="V11" s="1286"/>
      <c r="W11" s="1286"/>
      <c r="X11" s="1286"/>
      <c r="Y11" s="1286"/>
      <c r="Z11" s="1286"/>
      <c r="AA11" s="1289"/>
    </row>
    <row r="12" spans="1:27">
      <c r="A12" s="1262"/>
      <c r="B12" s="1272"/>
      <c r="C12" s="1295"/>
      <c r="D12" s="1295"/>
      <c r="E12" s="1295"/>
      <c r="F12" s="1295"/>
      <c r="G12" s="1295"/>
      <c r="H12" s="1295"/>
      <c r="I12" s="1273"/>
      <c r="J12" s="1296"/>
      <c r="K12" s="1296"/>
      <c r="L12" s="1265"/>
      <c r="M12" s="1310"/>
      <c r="N12" s="1303"/>
      <c r="O12" s="140"/>
      <c r="P12" s="1303"/>
      <c r="Q12" s="1303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9"/>
    </row>
    <row r="13" spans="1:27">
      <c r="A13" s="1262"/>
      <c r="B13" s="1291" t="s">
        <v>150</v>
      </c>
      <c r="C13" s="1292"/>
      <c r="D13" s="1292"/>
      <c r="E13" s="1292"/>
      <c r="F13" s="1292"/>
      <c r="G13" s="1292"/>
      <c r="H13" s="1292"/>
      <c r="I13" s="1293"/>
      <c r="J13" s="1296"/>
      <c r="K13" s="1296"/>
      <c r="L13" s="1265"/>
      <c r="M13" s="1310"/>
      <c r="N13" s="1303"/>
      <c r="O13" s="140"/>
      <c r="P13" s="1303"/>
      <c r="Q13" s="1303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9"/>
    </row>
    <row r="14" spans="1:27">
      <c r="A14" s="1262"/>
      <c r="B14" s="1270"/>
      <c r="C14" s="1294"/>
      <c r="D14" s="1294"/>
      <c r="E14" s="1294"/>
      <c r="F14" s="1294"/>
      <c r="G14" s="1294"/>
      <c r="H14" s="1294"/>
      <c r="I14" s="1271"/>
      <c r="J14" s="1296"/>
      <c r="K14" s="1296"/>
      <c r="L14" s="1265"/>
      <c r="M14" s="1310"/>
      <c r="N14" s="1303"/>
      <c r="O14" s="140"/>
      <c r="P14" s="1303"/>
      <c r="Q14" s="1303"/>
      <c r="R14" s="1286"/>
      <c r="S14" s="1286"/>
      <c r="T14" s="1286"/>
      <c r="U14" s="1286"/>
      <c r="V14" s="1286"/>
      <c r="W14" s="1286"/>
      <c r="X14" s="1286"/>
      <c r="Y14" s="1286"/>
      <c r="Z14" s="1286"/>
      <c r="AA14" s="1289"/>
    </row>
    <row r="15" spans="1:27">
      <c r="A15" s="1262"/>
      <c r="B15" s="1270"/>
      <c r="C15" s="1294"/>
      <c r="D15" s="1294"/>
      <c r="E15" s="1294"/>
      <c r="F15" s="1294"/>
      <c r="G15" s="1294"/>
      <c r="H15" s="1294"/>
      <c r="I15" s="1271"/>
      <c r="J15" s="1296"/>
      <c r="K15" s="1296"/>
      <c r="L15" s="1265"/>
      <c r="M15" s="1310"/>
      <c r="N15" s="1303"/>
      <c r="O15" s="140"/>
      <c r="P15" s="1303"/>
      <c r="Q15" s="1303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9"/>
    </row>
    <row r="16" spans="1:27" ht="13.5" thickBot="1">
      <c r="A16" s="1263"/>
      <c r="B16" s="1299"/>
      <c r="C16" s="1300"/>
      <c r="D16" s="1300"/>
      <c r="E16" s="1300"/>
      <c r="F16" s="1300"/>
      <c r="G16" s="1300"/>
      <c r="H16" s="1300"/>
      <c r="I16" s="1301"/>
      <c r="J16" s="1297"/>
      <c r="K16" s="1297"/>
      <c r="L16" s="1298"/>
      <c r="M16" s="1311"/>
      <c r="N16" s="1312"/>
      <c r="O16" s="141"/>
      <c r="P16" s="1304"/>
      <c r="Q16" s="1304"/>
      <c r="R16" s="1287"/>
      <c r="S16" s="1287"/>
      <c r="T16" s="1287"/>
      <c r="U16" s="1287"/>
      <c r="V16" s="1287"/>
      <c r="W16" s="1287"/>
      <c r="X16" s="1287"/>
      <c r="Y16" s="1287"/>
      <c r="Z16" s="1287"/>
      <c r="AA16" s="1290"/>
    </row>
    <row r="17" spans="1:27" ht="14.25" thickTop="1" thickBot="1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</row>
    <row r="18" spans="1:27" ht="13.5" thickTop="1">
      <c r="A18" s="1342">
        <v>1</v>
      </c>
      <c r="B18" s="1347" t="s">
        <v>133</v>
      </c>
      <c r="C18" s="1348"/>
      <c r="D18" s="1348">
        <v>757</v>
      </c>
      <c r="E18" s="1348"/>
      <c r="F18" s="1351" t="s">
        <v>207</v>
      </c>
      <c r="G18" s="1351"/>
      <c r="H18" s="1351"/>
      <c r="I18" s="1351"/>
      <c r="J18" s="1326">
        <v>2007</v>
      </c>
      <c r="K18" s="1326">
        <v>2022</v>
      </c>
      <c r="L18" s="1322">
        <f>SUM(N18,L24)</f>
        <v>11300000</v>
      </c>
      <c r="M18" s="1324" t="s">
        <v>152</v>
      </c>
      <c r="N18" s="1313">
        <f>SUM(N22:N29)</f>
        <v>9658998.3599999994</v>
      </c>
      <c r="O18" s="1326" t="s">
        <v>144</v>
      </c>
      <c r="P18" s="1313">
        <f t="shared" ref="P18:AA18" si="0">SUM(P22:P29)</f>
        <v>1215893.6400000001</v>
      </c>
      <c r="Q18" s="1313">
        <f t="shared" si="0"/>
        <v>1154461.1400000001</v>
      </c>
      <c r="R18" s="1313">
        <f t="shared" si="0"/>
        <v>1110507.49</v>
      </c>
      <c r="S18" s="1313">
        <f t="shared" si="0"/>
        <v>1066553.8599999999</v>
      </c>
      <c r="T18" s="1313">
        <f t="shared" si="0"/>
        <v>821197.86</v>
      </c>
      <c r="U18" s="1313">
        <f t="shared" si="0"/>
        <v>746153.88</v>
      </c>
      <c r="V18" s="1313">
        <f t="shared" si="0"/>
        <v>746153.88</v>
      </c>
      <c r="W18" s="1313">
        <f t="shared" si="0"/>
        <v>746153.88</v>
      </c>
      <c r="X18" s="1313">
        <f t="shared" si="0"/>
        <v>746153.88</v>
      </c>
      <c r="Y18" s="1313">
        <f t="shared" si="0"/>
        <v>746153.88</v>
      </c>
      <c r="Z18" s="1313">
        <f t="shared" si="0"/>
        <v>559614.97</v>
      </c>
      <c r="AA18" s="1338">
        <f t="shared" si="0"/>
        <v>0</v>
      </c>
    </row>
    <row r="19" spans="1:27">
      <c r="A19" s="1343"/>
      <c r="B19" s="1349"/>
      <c r="C19" s="1350"/>
      <c r="D19" s="1350"/>
      <c r="E19" s="1350"/>
      <c r="F19" s="1352"/>
      <c r="G19" s="1352"/>
      <c r="H19" s="1352"/>
      <c r="I19" s="1352"/>
      <c r="J19" s="1327"/>
      <c r="K19" s="1327"/>
      <c r="L19" s="1323"/>
      <c r="M19" s="1325"/>
      <c r="N19" s="1314"/>
      <c r="O19" s="1327"/>
      <c r="P19" s="1314"/>
      <c r="Q19" s="1314"/>
      <c r="R19" s="1314"/>
      <c r="S19" s="1314"/>
      <c r="T19" s="1314"/>
      <c r="U19" s="1314"/>
      <c r="V19" s="1314"/>
      <c r="W19" s="1314"/>
      <c r="X19" s="1314"/>
      <c r="Y19" s="1314"/>
      <c r="Z19" s="1314"/>
      <c r="AA19" s="1339"/>
    </row>
    <row r="20" spans="1:27">
      <c r="A20" s="1343"/>
      <c r="B20" s="1361" t="s">
        <v>139</v>
      </c>
      <c r="C20" s="1362"/>
      <c r="D20" s="1362">
        <v>75704</v>
      </c>
      <c r="E20" s="1362"/>
      <c r="F20" s="1352" t="s">
        <v>380</v>
      </c>
      <c r="G20" s="1352"/>
      <c r="H20" s="1352"/>
      <c r="I20" s="1352"/>
      <c r="J20" s="1327"/>
      <c r="K20" s="1327"/>
      <c r="L20" s="1323"/>
      <c r="M20" s="1325"/>
      <c r="N20" s="1314"/>
      <c r="O20" s="1327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39"/>
    </row>
    <row r="21" spans="1:27">
      <c r="A21" s="1343"/>
      <c r="B21" s="1363"/>
      <c r="C21" s="1332"/>
      <c r="D21" s="1332"/>
      <c r="E21" s="1332"/>
      <c r="F21" s="1352"/>
      <c r="G21" s="1352"/>
      <c r="H21" s="1352"/>
      <c r="I21" s="1352"/>
      <c r="J21" s="1327"/>
      <c r="K21" s="1327"/>
      <c r="L21" s="1323"/>
      <c r="M21" s="1325"/>
      <c r="N21" s="1314"/>
      <c r="O21" s="1328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39"/>
    </row>
    <row r="22" spans="1:27">
      <c r="A22" s="1344"/>
      <c r="B22" s="1354" t="s">
        <v>208</v>
      </c>
      <c r="C22" s="1354"/>
      <c r="D22" s="1354"/>
      <c r="E22" s="1354"/>
      <c r="F22" s="1354"/>
      <c r="G22" s="1354"/>
      <c r="H22" s="1354"/>
      <c r="I22" s="1354"/>
      <c r="J22" s="1353"/>
      <c r="K22" s="1327"/>
      <c r="L22" s="1323"/>
      <c r="M22" s="1329">
        <v>75704</v>
      </c>
      <c r="N22" s="145" t="s">
        <v>209</v>
      </c>
      <c r="O22" s="1332" t="s">
        <v>144</v>
      </c>
      <c r="P22" s="1320">
        <v>746153.88</v>
      </c>
      <c r="Q22" s="1320">
        <v>746153.88</v>
      </c>
      <c r="R22" s="1320">
        <v>746153.88</v>
      </c>
      <c r="S22" s="1320">
        <v>746153.88</v>
      </c>
      <c r="T22" s="1320">
        <v>746153.88</v>
      </c>
      <c r="U22" s="1320">
        <v>746153.88</v>
      </c>
      <c r="V22" s="1320">
        <v>746153.88</v>
      </c>
      <c r="W22" s="1320">
        <v>746153.88</v>
      </c>
      <c r="X22" s="1320">
        <v>746153.88</v>
      </c>
      <c r="Y22" s="1320">
        <v>746153.88</v>
      </c>
      <c r="Z22" s="1320">
        <v>559614.97</v>
      </c>
      <c r="AA22" s="1340">
        <v>0</v>
      </c>
    </row>
    <row r="23" spans="1:27">
      <c r="A23" s="1344"/>
      <c r="B23" s="1354"/>
      <c r="C23" s="1354"/>
      <c r="D23" s="1354"/>
      <c r="E23" s="1354"/>
      <c r="F23" s="1354"/>
      <c r="G23" s="1354"/>
      <c r="H23" s="1354"/>
      <c r="I23" s="1354"/>
      <c r="J23" s="1353"/>
      <c r="K23" s="1327"/>
      <c r="L23" s="1323"/>
      <c r="M23" s="1330"/>
      <c r="N23" s="1318">
        <f>SUM(P22:Z26)</f>
        <v>8021153.7699999996</v>
      </c>
      <c r="O23" s="1327"/>
      <c r="P23" s="1318"/>
      <c r="Q23" s="1318"/>
      <c r="R23" s="1318"/>
      <c r="S23" s="1318"/>
      <c r="T23" s="1318"/>
      <c r="U23" s="1318"/>
      <c r="V23" s="1318"/>
      <c r="W23" s="1318"/>
      <c r="X23" s="1318"/>
      <c r="Y23" s="1318"/>
      <c r="Z23" s="1318"/>
      <c r="AA23" s="1336"/>
    </row>
    <row r="24" spans="1:27">
      <c r="A24" s="1344"/>
      <c r="B24" s="1354"/>
      <c r="C24" s="1354"/>
      <c r="D24" s="1354"/>
      <c r="E24" s="1354"/>
      <c r="F24" s="1354"/>
      <c r="G24" s="1354"/>
      <c r="H24" s="1354"/>
      <c r="I24" s="1354"/>
      <c r="J24" s="1353"/>
      <c r="K24" s="1327"/>
      <c r="L24" s="1315">
        <v>1641001.64</v>
      </c>
      <c r="M24" s="1330"/>
      <c r="N24" s="1318"/>
      <c r="O24" s="1327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36"/>
    </row>
    <row r="25" spans="1:27">
      <c r="A25" s="1344"/>
      <c r="B25" s="1354"/>
      <c r="C25" s="1354"/>
      <c r="D25" s="1354"/>
      <c r="E25" s="1354"/>
      <c r="F25" s="1354"/>
      <c r="G25" s="1354"/>
      <c r="H25" s="1354"/>
      <c r="I25" s="1354"/>
      <c r="J25" s="1353"/>
      <c r="K25" s="1327"/>
      <c r="L25" s="1315"/>
      <c r="M25" s="1330"/>
      <c r="N25" s="1318"/>
      <c r="O25" s="1327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36"/>
    </row>
    <row r="26" spans="1:27">
      <c r="A26" s="1345"/>
      <c r="B26" s="1355" t="s">
        <v>210</v>
      </c>
      <c r="C26" s="1356"/>
      <c r="D26" s="1356"/>
      <c r="E26" s="1356"/>
      <c r="F26" s="1356"/>
      <c r="G26" s="1356"/>
      <c r="H26" s="1356"/>
      <c r="I26" s="1357"/>
      <c r="J26" s="1327"/>
      <c r="K26" s="1327"/>
      <c r="L26" s="1315"/>
      <c r="M26" s="1330"/>
      <c r="N26" s="1334"/>
      <c r="O26" s="1327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41"/>
    </row>
    <row r="27" spans="1:27">
      <c r="A27" s="1345"/>
      <c r="B27" s="1355"/>
      <c r="C27" s="1356"/>
      <c r="D27" s="1356"/>
      <c r="E27" s="1356"/>
      <c r="F27" s="1356"/>
      <c r="G27" s="1356"/>
      <c r="H27" s="1356"/>
      <c r="I27" s="1357"/>
      <c r="J27" s="1327"/>
      <c r="K27" s="1327"/>
      <c r="L27" s="1315"/>
      <c r="M27" s="1330"/>
      <c r="N27" s="146" t="s">
        <v>211</v>
      </c>
      <c r="O27" s="1327"/>
      <c r="P27" s="1317">
        <v>469739.76</v>
      </c>
      <c r="Q27" s="1318">
        <v>408307.26</v>
      </c>
      <c r="R27" s="1317">
        <v>364353.61</v>
      </c>
      <c r="S27" s="1318">
        <v>320399.98</v>
      </c>
      <c r="T27" s="1318">
        <v>75043.98</v>
      </c>
      <c r="U27" s="1318"/>
      <c r="V27" s="1317"/>
      <c r="W27" s="1317"/>
      <c r="X27" s="1317"/>
      <c r="Y27" s="1317"/>
      <c r="Z27" s="1317"/>
      <c r="AA27" s="1335"/>
    </row>
    <row r="28" spans="1:27">
      <c r="A28" s="1345"/>
      <c r="B28" s="1355"/>
      <c r="C28" s="1356"/>
      <c r="D28" s="1356"/>
      <c r="E28" s="1356"/>
      <c r="F28" s="1356"/>
      <c r="G28" s="1356"/>
      <c r="H28" s="1356"/>
      <c r="I28" s="1357"/>
      <c r="J28" s="1327"/>
      <c r="K28" s="1327"/>
      <c r="L28" s="1315"/>
      <c r="M28" s="1330"/>
      <c r="N28" s="1318">
        <f>SUM(P27:Z29)</f>
        <v>1637844.5899999999</v>
      </c>
      <c r="O28" s="1327"/>
      <c r="P28" s="1318"/>
      <c r="Q28" s="1318"/>
      <c r="R28" s="1318"/>
      <c r="S28" s="1318"/>
      <c r="T28" s="1318"/>
      <c r="U28" s="1318"/>
      <c r="V28" s="1318"/>
      <c r="W28" s="1318"/>
      <c r="X28" s="1318"/>
      <c r="Y28" s="1318"/>
      <c r="Z28" s="1318"/>
      <c r="AA28" s="1336"/>
    </row>
    <row r="29" spans="1:27" ht="13.5" thickBot="1">
      <c r="A29" s="1346"/>
      <c r="B29" s="1358"/>
      <c r="C29" s="1359"/>
      <c r="D29" s="1359"/>
      <c r="E29" s="1359"/>
      <c r="F29" s="1359"/>
      <c r="G29" s="1359"/>
      <c r="H29" s="1359"/>
      <c r="I29" s="1360"/>
      <c r="J29" s="1333"/>
      <c r="K29" s="1333"/>
      <c r="L29" s="1316"/>
      <c r="M29" s="1331"/>
      <c r="N29" s="1319"/>
      <c r="O29" s="1333"/>
      <c r="P29" s="1319"/>
      <c r="Q29" s="1319"/>
      <c r="R29" s="1319"/>
      <c r="S29" s="1319"/>
      <c r="T29" s="1319"/>
      <c r="U29" s="1319"/>
      <c r="V29" s="1319"/>
      <c r="W29" s="1319"/>
      <c r="X29" s="1319"/>
      <c r="Y29" s="1319"/>
      <c r="Z29" s="1319"/>
      <c r="AA29" s="1337"/>
    </row>
    <row r="30" spans="1:27" ht="14.25" thickTop="1" thickBot="1">
      <c r="A30" s="142"/>
      <c r="B30" s="147"/>
      <c r="C30" s="147"/>
      <c r="D30" s="147"/>
      <c r="E30" s="147"/>
      <c r="F30" s="147"/>
      <c r="G30" s="147"/>
      <c r="H30" s="147"/>
      <c r="I30" s="147"/>
      <c r="J30" s="148"/>
      <c r="K30" s="148"/>
      <c r="L30" s="149"/>
      <c r="M30" s="150"/>
      <c r="N30" s="15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:27" ht="13.5" thickTop="1">
      <c r="A31" s="1342">
        <v>2</v>
      </c>
      <c r="B31" s="1347" t="s">
        <v>133</v>
      </c>
      <c r="C31" s="1348"/>
      <c r="D31" s="1348">
        <v>757</v>
      </c>
      <c r="E31" s="1348"/>
      <c r="F31" s="1351" t="s">
        <v>207</v>
      </c>
      <c r="G31" s="1351"/>
      <c r="H31" s="1351"/>
      <c r="I31" s="1351"/>
      <c r="J31" s="1326">
        <v>2008</v>
      </c>
      <c r="K31" s="1326">
        <v>2021</v>
      </c>
      <c r="L31" s="1322">
        <f>SUM(N31,L37)</f>
        <v>11667000</v>
      </c>
      <c r="M31" s="1324" t="s">
        <v>152</v>
      </c>
      <c r="N31" s="1313">
        <f>SUM(N35:N42)</f>
        <v>10367447.529999999</v>
      </c>
      <c r="O31" s="1326" t="s">
        <v>144</v>
      </c>
      <c r="P31" s="1313">
        <f t="shared" ref="P31:AA31" si="1">SUM(P35:P42)</f>
        <v>1161093.45</v>
      </c>
      <c r="Q31" s="1313">
        <f t="shared" si="1"/>
        <v>1022154.76</v>
      </c>
      <c r="R31" s="1313">
        <f t="shared" si="1"/>
        <v>1022154.76</v>
      </c>
      <c r="S31" s="1313">
        <f t="shared" si="1"/>
        <v>1022154.76</v>
      </c>
      <c r="T31" s="1313">
        <f t="shared" si="1"/>
        <v>1022154.76</v>
      </c>
      <c r="U31" s="1313">
        <f t="shared" si="1"/>
        <v>1022154.76</v>
      </c>
      <c r="V31" s="1313">
        <f t="shared" si="1"/>
        <v>1022154.76</v>
      </c>
      <c r="W31" s="1313">
        <f t="shared" si="1"/>
        <v>1022154.76</v>
      </c>
      <c r="X31" s="1313">
        <f t="shared" si="1"/>
        <v>1022154.76</v>
      </c>
      <c r="Y31" s="1313">
        <f>SUM(Y35:Y42)</f>
        <v>1029116</v>
      </c>
      <c r="Z31" s="1313">
        <f t="shared" si="1"/>
        <v>0</v>
      </c>
      <c r="AA31" s="1338">
        <f t="shared" si="1"/>
        <v>0</v>
      </c>
    </row>
    <row r="32" spans="1:27">
      <c r="A32" s="1343"/>
      <c r="B32" s="1349"/>
      <c r="C32" s="1350"/>
      <c r="D32" s="1350"/>
      <c r="E32" s="1350"/>
      <c r="F32" s="1352"/>
      <c r="G32" s="1352"/>
      <c r="H32" s="1352"/>
      <c r="I32" s="1352"/>
      <c r="J32" s="1327"/>
      <c r="K32" s="1327"/>
      <c r="L32" s="1323"/>
      <c r="M32" s="1325"/>
      <c r="N32" s="1314"/>
      <c r="O32" s="1327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39"/>
    </row>
    <row r="33" spans="1:27">
      <c r="A33" s="1343"/>
      <c r="B33" s="1361" t="s">
        <v>139</v>
      </c>
      <c r="C33" s="1362"/>
      <c r="D33" s="1362">
        <v>75704</v>
      </c>
      <c r="E33" s="1362"/>
      <c r="F33" s="1352" t="s">
        <v>380</v>
      </c>
      <c r="G33" s="1352"/>
      <c r="H33" s="1352"/>
      <c r="I33" s="1352"/>
      <c r="J33" s="1327"/>
      <c r="K33" s="1327"/>
      <c r="L33" s="1323"/>
      <c r="M33" s="1325"/>
      <c r="N33" s="1314"/>
      <c r="O33" s="1327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39"/>
    </row>
    <row r="34" spans="1:27">
      <c r="A34" s="1343"/>
      <c r="B34" s="1363"/>
      <c r="C34" s="1332"/>
      <c r="D34" s="1332"/>
      <c r="E34" s="1332"/>
      <c r="F34" s="1352"/>
      <c r="G34" s="1352"/>
      <c r="H34" s="1352"/>
      <c r="I34" s="1352"/>
      <c r="J34" s="1327"/>
      <c r="K34" s="1327"/>
      <c r="L34" s="1323"/>
      <c r="M34" s="1325"/>
      <c r="N34" s="1314"/>
      <c r="O34" s="1328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39"/>
    </row>
    <row r="35" spans="1:27">
      <c r="A35" s="1344"/>
      <c r="B35" s="1354" t="s">
        <v>212</v>
      </c>
      <c r="C35" s="1354"/>
      <c r="D35" s="1354"/>
      <c r="E35" s="1354"/>
      <c r="F35" s="1354"/>
      <c r="G35" s="1354"/>
      <c r="H35" s="1354"/>
      <c r="I35" s="1354"/>
      <c r="J35" s="1353"/>
      <c r="K35" s="1327"/>
      <c r="L35" s="1323"/>
      <c r="M35" s="1329">
        <v>75704</v>
      </c>
      <c r="N35" s="1320">
        <f>SUM(P35:Z42)</f>
        <v>10367447.529999999</v>
      </c>
      <c r="O35" s="1332" t="s">
        <v>144</v>
      </c>
      <c r="P35" s="1320">
        <v>1161093.45</v>
      </c>
      <c r="Q35" s="1320">
        <v>1022154.76</v>
      </c>
      <c r="R35" s="1320">
        <v>1022154.76</v>
      </c>
      <c r="S35" s="1320">
        <v>1022154.76</v>
      </c>
      <c r="T35" s="1320">
        <v>1022154.76</v>
      </c>
      <c r="U35" s="1320">
        <v>1022154.76</v>
      </c>
      <c r="V35" s="1320">
        <v>1022154.76</v>
      </c>
      <c r="W35" s="1320">
        <v>1022154.76</v>
      </c>
      <c r="X35" s="1320">
        <v>1022154.76</v>
      </c>
      <c r="Y35" s="1320">
        <v>1029116</v>
      </c>
      <c r="Z35" s="1320">
        <v>0</v>
      </c>
      <c r="AA35" s="1340">
        <v>0</v>
      </c>
    </row>
    <row r="36" spans="1:27">
      <c r="A36" s="1344"/>
      <c r="B36" s="1354"/>
      <c r="C36" s="1354"/>
      <c r="D36" s="1354"/>
      <c r="E36" s="1354"/>
      <c r="F36" s="1354"/>
      <c r="G36" s="1354"/>
      <c r="H36" s="1354"/>
      <c r="I36" s="1354"/>
      <c r="J36" s="1353"/>
      <c r="K36" s="1327"/>
      <c r="L36" s="1323"/>
      <c r="M36" s="1330"/>
      <c r="N36" s="1318"/>
      <c r="O36" s="1327"/>
      <c r="P36" s="1318"/>
      <c r="Q36" s="1318"/>
      <c r="R36" s="1318"/>
      <c r="S36" s="1318"/>
      <c r="T36" s="1318"/>
      <c r="U36" s="1318"/>
      <c r="V36" s="1318"/>
      <c r="W36" s="1318"/>
      <c r="X36" s="1318"/>
      <c r="Y36" s="1318"/>
      <c r="Z36" s="1318"/>
      <c r="AA36" s="1336"/>
    </row>
    <row r="37" spans="1:27">
      <c r="A37" s="1344"/>
      <c r="B37" s="1354"/>
      <c r="C37" s="1354"/>
      <c r="D37" s="1354"/>
      <c r="E37" s="1354"/>
      <c r="F37" s="1354"/>
      <c r="G37" s="1354"/>
      <c r="H37" s="1354"/>
      <c r="I37" s="1354"/>
      <c r="J37" s="1353"/>
      <c r="K37" s="1327"/>
      <c r="L37" s="1315">
        <v>1299552.47</v>
      </c>
      <c r="M37" s="1330"/>
      <c r="N37" s="1318"/>
      <c r="O37" s="1327"/>
      <c r="P37" s="1318"/>
      <c r="Q37" s="1318"/>
      <c r="R37" s="1318"/>
      <c r="S37" s="1318"/>
      <c r="T37" s="1318"/>
      <c r="U37" s="1318"/>
      <c r="V37" s="1318"/>
      <c r="W37" s="1318"/>
      <c r="X37" s="1318"/>
      <c r="Y37" s="1318"/>
      <c r="Z37" s="1318"/>
      <c r="AA37" s="1336"/>
    </row>
    <row r="38" spans="1:27">
      <c r="A38" s="1344"/>
      <c r="B38" s="1354"/>
      <c r="C38" s="1354"/>
      <c r="D38" s="1354"/>
      <c r="E38" s="1354"/>
      <c r="F38" s="1354"/>
      <c r="G38" s="1354"/>
      <c r="H38" s="1354"/>
      <c r="I38" s="1354"/>
      <c r="J38" s="1353"/>
      <c r="K38" s="1327"/>
      <c r="L38" s="1315"/>
      <c r="M38" s="1330"/>
      <c r="N38" s="1318"/>
      <c r="O38" s="1327"/>
      <c r="P38" s="1318"/>
      <c r="Q38" s="1318"/>
      <c r="R38" s="1318"/>
      <c r="S38" s="1318"/>
      <c r="T38" s="1318"/>
      <c r="U38" s="1318"/>
      <c r="V38" s="1318"/>
      <c r="W38" s="1318"/>
      <c r="X38" s="1318"/>
      <c r="Y38" s="1318"/>
      <c r="Z38" s="1318"/>
      <c r="AA38" s="1336"/>
    </row>
    <row r="39" spans="1:27">
      <c r="A39" s="1345"/>
      <c r="B39" s="1355" t="s">
        <v>213</v>
      </c>
      <c r="C39" s="1356"/>
      <c r="D39" s="1356"/>
      <c r="E39" s="1356"/>
      <c r="F39" s="1356"/>
      <c r="G39" s="1356"/>
      <c r="H39" s="1356"/>
      <c r="I39" s="1357"/>
      <c r="J39" s="1327"/>
      <c r="K39" s="1327"/>
      <c r="L39" s="1315"/>
      <c r="M39" s="1330"/>
      <c r="N39" s="1318"/>
      <c r="O39" s="1327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36"/>
    </row>
    <row r="40" spans="1:27">
      <c r="A40" s="1345"/>
      <c r="B40" s="1355"/>
      <c r="C40" s="1356"/>
      <c r="D40" s="1356"/>
      <c r="E40" s="1356"/>
      <c r="F40" s="1356"/>
      <c r="G40" s="1356"/>
      <c r="H40" s="1356"/>
      <c r="I40" s="1357"/>
      <c r="J40" s="1327"/>
      <c r="K40" s="1327"/>
      <c r="L40" s="1315"/>
      <c r="M40" s="1330"/>
      <c r="N40" s="1318"/>
      <c r="O40" s="1327"/>
      <c r="P40" s="1318"/>
      <c r="Q40" s="1318"/>
      <c r="R40" s="1318"/>
      <c r="S40" s="1318"/>
      <c r="T40" s="1318"/>
      <c r="U40" s="1318"/>
      <c r="V40" s="1318"/>
      <c r="W40" s="1318"/>
      <c r="X40" s="1318"/>
      <c r="Y40" s="1318"/>
      <c r="Z40" s="1318"/>
      <c r="AA40" s="1336"/>
    </row>
    <row r="41" spans="1:27">
      <c r="A41" s="1345"/>
      <c r="B41" s="1355"/>
      <c r="C41" s="1356"/>
      <c r="D41" s="1356"/>
      <c r="E41" s="1356"/>
      <c r="F41" s="1356"/>
      <c r="G41" s="1356"/>
      <c r="H41" s="1356"/>
      <c r="I41" s="1357"/>
      <c r="J41" s="1327"/>
      <c r="K41" s="1327"/>
      <c r="L41" s="1315"/>
      <c r="M41" s="1330"/>
      <c r="N41" s="1318"/>
      <c r="O41" s="1327"/>
      <c r="P41" s="1318"/>
      <c r="Q41" s="1318"/>
      <c r="R41" s="1318"/>
      <c r="S41" s="1318"/>
      <c r="T41" s="1318"/>
      <c r="U41" s="1318"/>
      <c r="V41" s="1318"/>
      <c r="W41" s="1318"/>
      <c r="X41" s="1318"/>
      <c r="Y41" s="1318"/>
      <c r="Z41" s="1318"/>
      <c r="AA41" s="1336"/>
    </row>
    <row r="42" spans="1:27" ht="13.5" thickBot="1">
      <c r="A42" s="1346"/>
      <c r="B42" s="1358"/>
      <c r="C42" s="1359"/>
      <c r="D42" s="1359"/>
      <c r="E42" s="1359"/>
      <c r="F42" s="1359"/>
      <c r="G42" s="1359"/>
      <c r="H42" s="1359"/>
      <c r="I42" s="1360"/>
      <c r="J42" s="1333"/>
      <c r="K42" s="1333"/>
      <c r="L42" s="1316"/>
      <c r="M42" s="1331"/>
      <c r="N42" s="1319"/>
      <c r="O42" s="1333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37"/>
    </row>
    <row r="43" spans="1:27" ht="14.25" thickTop="1" thickBot="1">
      <c r="A43" s="142"/>
      <c r="B43" s="147"/>
      <c r="C43" s="147"/>
      <c r="D43" s="147"/>
      <c r="E43" s="147"/>
      <c r="F43" s="147"/>
      <c r="G43" s="147"/>
      <c r="H43" s="147"/>
      <c r="I43" s="147"/>
      <c r="J43" s="148"/>
      <c r="K43" s="148"/>
      <c r="L43" s="149"/>
      <c r="M43" s="150"/>
      <c r="N43" s="151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</row>
    <row r="44" spans="1:27" ht="13.5" thickTop="1">
      <c r="A44" s="1342">
        <v>3</v>
      </c>
      <c r="B44" s="1347" t="s">
        <v>133</v>
      </c>
      <c r="C44" s="1348"/>
      <c r="D44" s="1348">
        <v>757</v>
      </c>
      <c r="E44" s="1348"/>
      <c r="F44" s="1351" t="s">
        <v>207</v>
      </c>
      <c r="G44" s="1351"/>
      <c r="H44" s="1351"/>
      <c r="I44" s="1351"/>
      <c r="J44" s="1326">
        <v>2009</v>
      </c>
      <c r="K44" s="1326">
        <v>2017</v>
      </c>
      <c r="L44" s="1322">
        <f>SUM(N44,L50)</f>
        <v>8000000</v>
      </c>
      <c r="M44" s="1324" t="s">
        <v>152</v>
      </c>
      <c r="N44" s="1313">
        <f>SUM(N48:N55)</f>
        <v>7271737.4400000004</v>
      </c>
      <c r="O44" s="1326" t="s">
        <v>144</v>
      </c>
      <c r="P44" s="1313">
        <f t="shared" ref="P44:AA44" si="2">SUM(P48:P55)</f>
        <v>1446825.55</v>
      </c>
      <c r="Q44" s="1313">
        <f t="shared" si="2"/>
        <v>1377513.52</v>
      </c>
      <c r="R44" s="1313">
        <f t="shared" si="2"/>
        <v>1273517.3400000001</v>
      </c>
      <c r="S44" s="1313">
        <f t="shared" si="2"/>
        <v>1212370.45</v>
      </c>
      <c r="T44" s="1313">
        <f t="shared" si="2"/>
        <v>1133486.48</v>
      </c>
      <c r="U44" s="1313">
        <f t="shared" si="2"/>
        <v>828024.1</v>
      </c>
      <c r="V44" s="1313">
        <f t="shared" si="2"/>
        <v>0</v>
      </c>
      <c r="W44" s="1313">
        <f t="shared" si="2"/>
        <v>0</v>
      </c>
      <c r="X44" s="1313">
        <f t="shared" si="2"/>
        <v>0</v>
      </c>
      <c r="Y44" s="1313">
        <f t="shared" si="2"/>
        <v>0</v>
      </c>
      <c r="Z44" s="1313">
        <f t="shared" si="2"/>
        <v>0</v>
      </c>
      <c r="AA44" s="1338">
        <f t="shared" si="2"/>
        <v>0</v>
      </c>
    </row>
    <row r="45" spans="1:27">
      <c r="A45" s="1343"/>
      <c r="B45" s="1349"/>
      <c r="C45" s="1350"/>
      <c r="D45" s="1350"/>
      <c r="E45" s="1350"/>
      <c r="F45" s="1352"/>
      <c r="G45" s="1352"/>
      <c r="H45" s="1352"/>
      <c r="I45" s="1352"/>
      <c r="J45" s="1327"/>
      <c r="K45" s="1327"/>
      <c r="L45" s="1323"/>
      <c r="M45" s="1325"/>
      <c r="N45" s="1314"/>
      <c r="O45" s="1327"/>
      <c r="P45" s="1314"/>
      <c r="Q45" s="1314"/>
      <c r="R45" s="1314"/>
      <c r="S45" s="1314"/>
      <c r="T45" s="1314"/>
      <c r="U45" s="1314"/>
      <c r="V45" s="1314"/>
      <c r="W45" s="1314"/>
      <c r="X45" s="1314"/>
      <c r="Y45" s="1314"/>
      <c r="Z45" s="1314"/>
      <c r="AA45" s="1339"/>
    </row>
    <row r="46" spans="1:27">
      <c r="A46" s="1343"/>
      <c r="B46" s="1361" t="s">
        <v>139</v>
      </c>
      <c r="C46" s="1362"/>
      <c r="D46" s="1362">
        <v>75704</v>
      </c>
      <c r="E46" s="1362"/>
      <c r="F46" s="1352" t="s">
        <v>380</v>
      </c>
      <c r="G46" s="1352"/>
      <c r="H46" s="1352"/>
      <c r="I46" s="1352"/>
      <c r="J46" s="1327"/>
      <c r="K46" s="1327"/>
      <c r="L46" s="1323"/>
      <c r="M46" s="1325"/>
      <c r="N46" s="1314"/>
      <c r="O46" s="1327"/>
      <c r="P46" s="1314"/>
      <c r="Q46" s="1314"/>
      <c r="R46" s="1314"/>
      <c r="S46" s="1314"/>
      <c r="T46" s="1314"/>
      <c r="U46" s="1314"/>
      <c r="V46" s="1314"/>
      <c r="W46" s="1314"/>
      <c r="X46" s="1314"/>
      <c r="Y46" s="1314"/>
      <c r="Z46" s="1314"/>
      <c r="AA46" s="1339"/>
    </row>
    <row r="47" spans="1:27">
      <c r="A47" s="1343"/>
      <c r="B47" s="1363"/>
      <c r="C47" s="1332"/>
      <c r="D47" s="1332"/>
      <c r="E47" s="1332"/>
      <c r="F47" s="1352"/>
      <c r="G47" s="1352"/>
      <c r="H47" s="1352"/>
      <c r="I47" s="1352"/>
      <c r="J47" s="1327"/>
      <c r="K47" s="1327"/>
      <c r="L47" s="1323"/>
      <c r="M47" s="1325"/>
      <c r="N47" s="1314"/>
      <c r="O47" s="1328"/>
      <c r="P47" s="1314"/>
      <c r="Q47" s="1314"/>
      <c r="R47" s="1314"/>
      <c r="S47" s="1314"/>
      <c r="T47" s="1314"/>
      <c r="U47" s="1314"/>
      <c r="V47" s="1314"/>
      <c r="W47" s="1314"/>
      <c r="X47" s="1314"/>
      <c r="Y47" s="1314"/>
      <c r="Z47" s="1314"/>
      <c r="AA47" s="1339"/>
    </row>
    <row r="48" spans="1:27">
      <c r="A48" s="1344"/>
      <c r="B48" s="1354" t="s">
        <v>214</v>
      </c>
      <c r="C48" s="1354"/>
      <c r="D48" s="1354"/>
      <c r="E48" s="1354"/>
      <c r="F48" s="1354"/>
      <c r="G48" s="1354"/>
      <c r="H48" s="1354"/>
      <c r="I48" s="1354"/>
      <c r="J48" s="1353"/>
      <c r="K48" s="1327"/>
      <c r="L48" s="1323"/>
      <c r="M48" s="1329">
        <v>75704</v>
      </c>
      <c r="N48" s="145" t="s">
        <v>209</v>
      </c>
      <c r="O48" s="1332" t="s">
        <v>144</v>
      </c>
      <c r="P48" s="1320">
        <v>999996</v>
      </c>
      <c r="Q48" s="1320">
        <v>999996</v>
      </c>
      <c r="R48" s="1320">
        <v>999996</v>
      </c>
      <c r="S48" s="1320">
        <v>999996</v>
      </c>
      <c r="T48" s="1320">
        <v>999996</v>
      </c>
      <c r="U48" s="1320">
        <v>749997</v>
      </c>
      <c r="V48" s="1320"/>
      <c r="W48" s="1320"/>
      <c r="X48" s="1320"/>
      <c r="Y48" s="1320"/>
      <c r="Z48" s="1320"/>
      <c r="AA48" s="1340">
        <v>0</v>
      </c>
    </row>
    <row r="49" spans="1:27">
      <c r="A49" s="1344"/>
      <c r="B49" s="1354"/>
      <c r="C49" s="1354"/>
      <c r="D49" s="1354"/>
      <c r="E49" s="1354"/>
      <c r="F49" s="1354"/>
      <c r="G49" s="1354"/>
      <c r="H49" s="1354"/>
      <c r="I49" s="1354"/>
      <c r="J49" s="1353"/>
      <c r="K49" s="1327"/>
      <c r="L49" s="1323"/>
      <c r="M49" s="1330"/>
      <c r="N49" s="1318">
        <f>SUM(P48:Z52)</f>
        <v>5749977</v>
      </c>
      <c r="O49" s="1327"/>
      <c r="P49" s="1318"/>
      <c r="Q49" s="1318"/>
      <c r="R49" s="1318"/>
      <c r="S49" s="1318"/>
      <c r="T49" s="1318"/>
      <c r="U49" s="1318"/>
      <c r="V49" s="1318"/>
      <c r="W49" s="1318"/>
      <c r="X49" s="1318"/>
      <c r="Y49" s="1318"/>
      <c r="Z49" s="1318"/>
      <c r="AA49" s="1336"/>
    </row>
    <row r="50" spans="1:27">
      <c r="A50" s="1344"/>
      <c r="B50" s="1354"/>
      <c r="C50" s="1354"/>
      <c r="D50" s="1354"/>
      <c r="E50" s="1354"/>
      <c r="F50" s="1354"/>
      <c r="G50" s="1354"/>
      <c r="H50" s="1354"/>
      <c r="I50" s="1354"/>
      <c r="J50" s="1353"/>
      <c r="K50" s="1327"/>
      <c r="L50" s="1315">
        <v>728262.56</v>
      </c>
      <c r="M50" s="1330"/>
      <c r="N50" s="1318"/>
      <c r="O50" s="1327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36"/>
    </row>
    <row r="51" spans="1:27">
      <c r="A51" s="1344"/>
      <c r="B51" s="1354"/>
      <c r="C51" s="1354"/>
      <c r="D51" s="1354"/>
      <c r="E51" s="1354"/>
      <c r="F51" s="1354"/>
      <c r="G51" s="1354"/>
      <c r="H51" s="1354"/>
      <c r="I51" s="1354"/>
      <c r="J51" s="1353"/>
      <c r="K51" s="1327"/>
      <c r="L51" s="1315"/>
      <c r="M51" s="1330"/>
      <c r="N51" s="1318"/>
      <c r="O51" s="1327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36"/>
    </row>
    <row r="52" spans="1:27">
      <c r="A52" s="1345"/>
      <c r="B52" s="1355" t="s">
        <v>210</v>
      </c>
      <c r="C52" s="1356"/>
      <c r="D52" s="1356"/>
      <c r="E52" s="1356"/>
      <c r="F52" s="1356"/>
      <c r="G52" s="1356"/>
      <c r="H52" s="1356"/>
      <c r="I52" s="1357"/>
      <c r="J52" s="1327"/>
      <c r="K52" s="1327"/>
      <c r="L52" s="1315"/>
      <c r="M52" s="1330"/>
      <c r="N52" s="1334"/>
      <c r="O52" s="1327"/>
      <c r="P52" s="1321"/>
      <c r="Q52" s="1321"/>
      <c r="R52" s="1321"/>
      <c r="S52" s="1321"/>
      <c r="T52" s="1321"/>
      <c r="U52" s="1321"/>
      <c r="V52" s="1321"/>
      <c r="W52" s="1321"/>
      <c r="X52" s="1321"/>
      <c r="Y52" s="1321"/>
      <c r="Z52" s="1321"/>
      <c r="AA52" s="1336"/>
    </row>
    <row r="53" spans="1:27">
      <c r="A53" s="1345"/>
      <c r="B53" s="1355"/>
      <c r="C53" s="1356"/>
      <c r="D53" s="1356"/>
      <c r="E53" s="1356"/>
      <c r="F53" s="1356"/>
      <c r="G53" s="1356"/>
      <c r="H53" s="1356"/>
      <c r="I53" s="1357"/>
      <c r="J53" s="1327"/>
      <c r="K53" s="1327"/>
      <c r="L53" s="1315"/>
      <c r="M53" s="1330"/>
      <c r="N53" s="146" t="s">
        <v>215</v>
      </c>
      <c r="O53" s="1327"/>
      <c r="P53" s="1317">
        <v>446829.55</v>
      </c>
      <c r="Q53" s="1318">
        <v>377517.52</v>
      </c>
      <c r="R53" s="1317">
        <v>273521.34000000003</v>
      </c>
      <c r="S53" s="1318">
        <v>212374.45</v>
      </c>
      <c r="T53" s="1318">
        <v>133490.48000000001</v>
      </c>
      <c r="U53" s="1318">
        <v>78027.100000000006</v>
      </c>
      <c r="V53" s="1317"/>
      <c r="W53" s="1317"/>
      <c r="X53" s="1317"/>
      <c r="Y53" s="1317"/>
      <c r="Z53" s="1317"/>
      <c r="AA53" s="1336"/>
    </row>
    <row r="54" spans="1:27">
      <c r="A54" s="1345"/>
      <c r="B54" s="1355"/>
      <c r="C54" s="1356"/>
      <c r="D54" s="1356"/>
      <c r="E54" s="1356"/>
      <c r="F54" s="1356"/>
      <c r="G54" s="1356"/>
      <c r="H54" s="1356"/>
      <c r="I54" s="1357"/>
      <c r="J54" s="1327"/>
      <c r="K54" s="1327"/>
      <c r="L54" s="1315"/>
      <c r="M54" s="1330"/>
      <c r="N54" s="1318">
        <f>SUM(P53:Z55)</f>
        <v>1521760.4400000002</v>
      </c>
      <c r="O54" s="1327"/>
      <c r="P54" s="1318"/>
      <c r="Q54" s="1318"/>
      <c r="R54" s="1318"/>
      <c r="S54" s="1318"/>
      <c r="T54" s="1318"/>
      <c r="U54" s="1318"/>
      <c r="V54" s="1318"/>
      <c r="W54" s="1318"/>
      <c r="X54" s="1318"/>
      <c r="Y54" s="1318"/>
      <c r="Z54" s="1318"/>
      <c r="AA54" s="1336"/>
    </row>
    <row r="55" spans="1:27" ht="13.5" thickBot="1">
      <c r="A55" s="1346"/>
      <c r="B55" s="1358"/>
      <c r="C55" s="1359"/>
      <c r="D55" s="1359"/>
      <c r="E55" s="1359"/>
      <c r="F55" s="1359"/>
      <c r="G55" s="1359"/>
      <c r="H55" s="1359"/>
      <c r="I55" s="1360"/>
      <c r="J55" s="1333"/>
      <c r="K55" s="1333"/>
      <c r="L55" s="1316"/>
      <c r="M55" s="1331"/>
      <c r="N55" s="1319"/>
      <c r="O55" s="1333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37"/>
    </row>
    <row r="56" spans="1:27" ht="14.25" thickTop="1" thickBot="1">
      <c r="A56" s="142"/>
      <c r="B56" s="147"/>
      <c r="C56" s="147"/>
      <c r="D56" s="147"/>
      <c r="E56" s="147"/>
      <c r="F56" s="147"/>
      <c r="G56" s="147"/>
      <c r="H56" s="147"/>
      <c r="I56" s="147"/>
      <c r="J56" s="148"/>
      <c r="K56" s="148"/>
      <c r="L56" s="149"/>
      <c r="M56" s="150"/>
      <c r="N56" s="151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ht="13.5" thickTop="1">
      <c r="A57" s="1342">
        <v>4</v>
      </c>
      <c r="B57" s="1347" t="s">
        <v>133</v>
      </c>
      <c r="C57" s="1348"/>
      <c r="D57" s="1348">
        <v>757</v>
      </c>
      <c r="E57" s="1348"/>
      <c r="F57" s="1351" t="s">
        <v>207</v>
      </c>
      <c r="G57" s="1351"/>
      <c r="H57" s="1351"/>
      <c r="I57" s="1351"/>
      <c r="J57" s="1326">
        <v>2010</v>
      </c>
      <c r="K57" s="1326">
        <v>2020</v>
      </c>
      <c r="L57" s="1322">
        <f>SUM(N57,L63)</f>
        <v>5589677</v>
      </c>
      <c r="M57" s="1324" t="s">
        <v>152</v>
      </c>
      <c r="N57" s="1313">
        <f>SUM(N61:N68)</f>
        <v>5434417</v>
      </c>
      <c r="O57" s="1326" t="s">
        <v>144</v>
      </c>
      <c r="P57" s="1313">
        <f t="shared" ref="P57:AA57" si="3">SUM(P61:P68)</f>
        <v>621040</v>
      </c>
      <c r="Q57" s="1313">
        <f t="shared" si="3"/>
        <v>621040</v>
      </c>
      <c r="R57" s="1313">
        <f t="shared" si="3"/>
        <v>621040</v>
      </c>
      <c r="S57" s="1313">
        <f t="shared" si="3"/>
        <v>621040</v>
      </c>
      <c r="T57" s="1313">
        <f t="shared" si="3"/>
        <v>621040</v>
      </c>
      <c r="U57" s="1313">
        <f t="shared" si="3"/>
        <v>621040</v>
      </c>
      <c r="V57" s="1313">
        <f t="shared" si="3"/>
        <v>621040</v>
      </c>
      <c r="W57" s="1313">
        <f t="shared" si="3"/>
        <v>621040</v>
      </c>
      <c r="X57" s="1313">
        <f t="shared" si="3"/>
        <v>466097</v>
      </c>
      <c r="Y57" s="1313">
        <f t="shared" si="3"/>
        <v>0</v>
      </c>
      <c r="Z57" s="1313">
        <f t="shared" si="3"/>
        <v>0</v>
      </c>
      <c r="AA57" s="1338">
        <f t="shared" si="3"/>
        <v>0</v>
      </c>
    </row>
    <row r="58" spans="1:27">
      <c r="A58" s="1343"/>
      <c r="B58" s="1349"/>
      <c r="C58" s="1350"/>
      <c r="D58" s="1350"/>
      <c r="E58" s="1350"/>
      <c r="F58" s="1352"/>
      <c r="G58" s="1352"/>
      <c r="H58" s="1352"/>
      <c r="I58" s="1352"/>
      <c r="J58" s="1327"/>
      <c r="K58" s="1327"/>
      <c r="L58" s="1323"/>
      <c r="M58" s="1325"/>
      <c r="N58" s="1314"/>
      <c r="O58" s="1327"/>
      <c r="P58" s="1314"/>
      <c r="Q58" s="1314"/>
      <c r="R58" s="1314"/>
      <c r="S58" s="1314"/>
      <c r="T58" s="1314"/>
      <c r="U58" s="1314"/>
      <c r="V58" s="1314"/>
      <c r="W58" s="1314"/>
      <c r="X58" s="1314"/>
      <c r="Y58" s="1314"/>
      <c r="Z58" s="1314"/>
      <c r="AA58" s="1339"/>
    </row>
    <row r="59" spans="1:27">
      <c r="A59" s="1343"/>
      <c r="B59" s="1361" t="s">
        <v>139</v>
      </c>
      <c r="C59" s="1362"/>
      <c r="D59" s="1362">
        <v>75704</v>
      </c>
      <c r="E59" s="1362"/>
      <c r="F59" s="1352" t="s">
        <v>380</v>
      </c>
      <c r="G59" s="1352"/>
      <c r="H59" s="1352"/>
      <c r="I59" s="1352"/>
      <c r="J59" s="1327"/>
      <c r="K59" s="1327"/>
      <c r="L59" s="1323"/>
      <c r="M59" s="1325"/>
      <c r="N59" s="1314"/>
      <c r="O59" s="1327"/>
      <c r="P59" s="1314"/>
      <c r="Q59" s="1314"/>
      <c r="R59" s="1314"/>
      <c r="S59" s="1314"/>
      <c r="T59" s="1314"/>
      <c r="U59" s="1314"/>
      <c r="V59" s="1314"/>
      <c r="W59" s="1314"/>
      <c r="X59" s="1314"/>
      <c r="Y59" s="1314"/>
      <c r="Z59" s="1314"/>
      <c r="AA59" s="1339"/>
    </row>
    <row r="60" spans="1:27">
      <c r="A60" s="1343"/>
      <c r="B60" s="1363"/>
      <c r="C60" s="1332"/>
      <c r="D60" s="1332"/>
      <c r="E60" s="1332"/>
      <c r="F60" s="1352"/>
      <c r="G60" s="1352"/>
      <c r="H60" s="1352"/>
      <c r="I60" s="1352"/>
      <c r="J60" s="1327"/>
      <c r="K60" s="1327"/>
      <c r="L60" s="1323"/>
      <c r="M60" s="1325"/>
      <c r="N60" s="1314"/>
      <c r="O60" s="1328"/>
      <c r="P60" s="1314"/>
      <c r="Q60" s="1314"/>
      <c r="R60" s="1314"/>
      <c r="S60" s="1314"/>
      <c r="T60" s="1314"/>
      <c r="U60" s="1314"/>
      <c r="V60" s="1314"/>
      <c r="W60" s="1314"/>
      <c r="X60" s="1314"/>
      <c r="Y60" s="1314"/>
      <c r="Z60" s="1314"/>
      <c r="AA60" s="1339"/>
    </row>
    <row r="61" spans="1:27">
      <c r="A61" s="1344"/>
      <c r="B61" s="1354" t="s">
        <v>216</v>
      </c>
      <c r="C61" s="1354"/>
      <c r="D61" s="1354"/>
      <c r="E61" s="1354"/>
      <c r="F61" s="1354"/>
      <c r="G61" s="1354"/>
      <c r="H61" s="1354"/>
      <c r="I61" s="1354"/>
      <c r="J61" s="1353"/>
      <c r="K61" s="1327"/>
      <c r="L61" s="1323"/>
      <c r="M61" s="1329">
        <v>75704</v>
      </c>
      <c r="N61" s="1320">
        <f>SUM(P61:Z68)</f>
        <v>5434417</v>
      </c>
      <c r="O61" s="1332" t="s">
        <v>144</v>
      </c>
      <c r="P61" s="1320">
        <v>621040</v>
      </c>
      <c r="Q61" s="1320">
        <v>621040</v>
      </c>
      <c r="R61" s="1320">
        <v>621040</v>
      </c>
      <c r="S61" s="1320">
        <v>621040</v>
      </c>
      <c r="T61" s="1320">
        <v>621040</v>
      </c>
      <c r="U61" s="1320">
        <v>621040</v>
      </c>
      <c r="V61" s="1320">
        <v>621040</v>
      </c>
      <c r="W61" s="1320">
        <v>621040</v>
      </c>
      <c r="X61" s="1320">
        <v>466097</v>
      </c>
      <c r="Y61" s="1320">
        <v>0</v>
      </c>
      <c r="Z61" s="1320">
        <v>0</v>
      </c>
      <c r="AA61" s="1340">
        <v>0</v>
      </c>
    </row>
    <row r="62" spans="1:27">
      <c r="A62" s="1344"/>
      <c r="B62" s="1354"/>
      <c r="C62" s="1354"/>
      <c r="D62" s="1354"/>
      <c r="E62" s="1354"/>
      <c r="F62" s="1354"/>
      <c r="G62" s="1354"/>
      <c r="H62" s="1354"/>
      <c r="I62" s="1354"/>
      <c r="J62" s="1353"/>
      <c r="K62" s="1327"/>
      <c r="L62" s="1323"/>
      <c r="M62" s="1330"/>
      <c r="N62" s="1318"/>
      <c r="O62" s="1327"/>
      <c r="P62" s="1318"/>
      <c r="Q62" s="1318"/>
      <c r="R62" s="1318"/>
      <c r="S62" s="1318"/>
      <c r="T62" s="1318"/>
      <c r="U62" s="1318"/>
      <c r="V62" s="1318"/>
      <c r="W62" s="1318"/>
      <c r="X62" s="1318"/>
      <c r="Y62" s="1318"/>
      <c r="Z62" s="1318"/>
      <c r="AA62" s="1336"/>
    </row>
    <row r="63" spans="1:27">
      <c r="A63" s="1344"/>
      <c r="B63" s="1354"/>
      <c r="C63" s="1354"/>
      <c r="D63" s="1354"/>
      <c r="E63" s="1354"/>
      <c r="F63" s="1354"/>
      <c r="G63" s="1354"/>
      <c r="H63" s="1354"/>
      <c r="I63" s="1354"/>
      <c r="J63" s="1353"/>
      <c r="K63" s="1327"/>
      <c r="L63" s="1315">
        <v>155260</v>
      </c>
      <c r="M63" s="1330"/>
      <c r="N63" s="1318"/>
      <c r="O63" s="1327"/>
      <c r="P63" s="1318"/>
      <c r="Q63" s="1318"/>
      <c r="R63" s="1318"/>
      <c r="S63" s="1318"/>
      <c r="T63" s="1318"/>
      <c r="U63" s="1318"/>
      <c r="V63" s="1318"/>
      <c r="W63" s="1318"/>
      <c r="X63" s="1318"/>
      <c r="Y63" s="1318"/>
      <c r="Z63" s="1318"/>
      <c r="AA63" s="1336"/>
    </row>
    <row r="64" spans="1:27">
      <c r="A64" s="1344"/>
      <c r="B64" s="1354"/>
      <c r="C64" s="1354"/>
      <c r="D64" s="1354"/>
      <c r="E64" s="1354"/>
      <c r="F64" s="1354"/>
      <c r="G64" s="1354"/>
      <c r="H64" s="1354"/>
      <c r="I64" s="1354"/>
      <c r="J64" s="1353"/>
      <c r="K64" s="1327"/>
      <c r="L64" s="1315"/>
      <c r="M64" s="1330"/>
      <c r="N64" s="1318"/>
      <c r="O64" s="1327"/>
      <c r="P64" s="1318"/>
      <c r="Q64" s="1318"/>
      <c r="R64" s="1318"/>
      <c r="S64" s="1318"/>
      <c r="T64" s="1318"/>
      <c r="U64" s="1318"/>
      <c r="V64" s="1318"/>
      <c r="W64" s="1318"/>
      <c r="X64" s="1318"/>
      <c r="Y64" s="1318"/>
      <c r="Z64" s="1318"/>
      <c r="AA64" s="1336"/>
    </row>
    <row r="65" spans="1:27">
      <c r="A65" s="1345"/>
      <c r="B65" s="1355" t="s">
        <v>213</v>
      </c>
      <c r="C65" s="1356"/>
      <c r="D65" s="1356"/>
      <c r="E65" s="1356"/>
      <c r="F65" s="1356"/>
      <c r="G65" s="1356"/>
      <c r="H65" s="1356"/>
      <c r="I65" s="1357"/>
      <c r="J65" s="1327"/>
      <c r="K65" s="1327"/>
      <c r="L65" s="1315"/>
      <c r="M65" s="1330"/>
      <c r="N65" s="1318"/>
      <c r="O65" s="1327"/>
      <c r="P65" s="1318"/>
      <c r="Q65" s="1318"/>
      <c r="R65" s="1318"/>
      <c r="S65" s="1318"/>
      <c r="T65" s="1318"/>
      <c r="U65" s="1318"/>
      <c r="V65" s="1318"/>
      <c r="W65" s="1318"/>
      <c r="X65" s="1318"/>
      <c r="Y65" s="1318"/>
      <c r="Z65" s="1318"/>
      <c r="AA65" s="1336"/>
    </row>
    <row r="66" spans="1:27">
      <c r="A66" s="1345"/>
      <c r="B66" s="1355"/>
      <c r="C66" s="1356"/>
      <c r="D66" s="1356"/>
      <c r="E66" s="1356"/>
      <c r="F66" s="1356"/>
      <c r="G66" s="1356"/>
      <c r="H66" s="1356"/>
      <c r="I66" s="1357"/>
      <c r="J66" s="1327"/>
      <c r="K66" s="1327"/>
      <c r="L66" s="1315"/>
      <c r="M66" s="1330"/>
      <c r="N66" s="1318"/>
      <c r="O66" s="1327"/>
      <c r="P66" s="1318"/>
      <c r="Q66" s="1318"/>
      <c r="R66" s="1318"/>
      <c r="S66" s="1318"/>
      <c r="T66" s="1318"/>
      <c r="U66" s="1318"/>
      <c r="V66" s="1318"/>
      <c r="W66" s="1318"/>
      <c r="X66" s="1318"/>
      <c r="Y66" s="1318"/>
      <c r="Z66" s="1318"/>
      <c r="AA66" s="1336"/>
    </row>
    <row r="67" spans="1:27">
      <c r="A67" s="1345"/>
      <c r="B67" s="1355"/>
      <c r="C67" s="1356"/>
      <c r="D67" s="1356"/>
      <c r="E67" s="1356"/>
      <c r="F67" s="1356"/>
      <c r="G67" s="1356"/>
      <c r="H67" s="1356"/>
      <c r="I67" s="1357"/>
      <c r="J67" s="1327"/>
      <c r="K67" s="1327"/>
      <c r="L67" s="1315"/>
      <c r="M67" s="1330"/>
      <c r="N67" s="1318"/>
      <c r="O67" s="1327"/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36"/>
    </row>
    <row r="68" spans="1:27" ht="13.5" thickBot="1">
      <c r="A68" s="1346"/>
      <c r="B68" s="1358"/>
      <c r="C68" s="1359"/>
      <c r="D68" s="1359"/>
      <c r="E68" s="1359"/>
      <c r="F68" s="1359"/>
      <c r="G68" s="1359"/>
      <c r="H68" s="1359"/>
      <c r="I68" s="1360"/>
      <c r="J68" s="1333"/>
      <c r="K68" s="1333"/>
      <c r="L68" s="1316"/>
      <c r="M68" s="1331"/>
      <c r="N68" s="1319"/>
      <c r="O68" s="1333"/>
      <c r="P68" s="1319"/>
      <c r="Q68" s="1319"/>
      <c r="R68" s="1319"/>
      <c r="S68" s="1319"/>
      <c r="T68" s="1319"/>
      <c r="U68" s="1319"/>
      <c r="V68" s="1319"/>
      <c r="W68" s="1319"/>
      <c r="X68" s="1319"/>
      <c r="Y68" s="1319"/>
      <c r="Z68" s="1319"/>
      <c r="AA68" s="1337"/>
    </row>
    <row r="69" spans="1:27" ht="14.25" thickTop="1" thickBot="1">
      <c r="A69" s="142"/>
      <c r="B69" s="147"/>
      <c r="C69" s="147"/>
      <c r="D69" s="147"/>
      <c r="E69" s="147"/>
      <c r="F69" s="147"/>
      <c r="G69" s="147"/>
      <c r="H69" s="147"/>
      <c r="I69" s="147"/>
      <c r="J69" s="148"/>
      <c r="K69" s="148"/>
      <c r="L69" s="149"/>
      <c r="M69" s="150"/>
      <c r="N69" s="151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</row>
    <row r="70" spans="1:27" ht="13.5" thickTop="1">
      <c r="A70" s="1342">
        <v>5</v>
      </c>
      <c r="B70" s="1347" t="s">
        <v>133</v>
      </c>
      <c r="C70" s="1348"/>
      <c r="D70" s="1348">
        <v>757</v>
      </c>
      <c r="E70" s="1348"/>
      <c r="F70" s="1351" t="s">
        <v>207</v>
      </c>
      <c r="G70" s="1351"/>
      <c r="H70" s="1351"/>
      <c r="I70" s="1351"/>
      <c r="J70" s="1326">
        <v>2010</v>
      </c>
      <c r="K70" s="1326">
        <v>2021</v>
      </c>
      <c r="L70" s="1322">
        <f>SUM(N70,L76)</f>
        <v>5333000</v>
      </c>
      <c r="M70" s="1324" t="s">
        <v>152</v>
      </c>
      <c r="N70" s="1313">
        <f>SUM(N74:N81)</f>
        <v>5333000</v>
      </c>
      <c r="O70" s="1326" t="s">
        <v>144</v>
      </c>
      <c r="P70" s="1313">
        <f t="shared" ref="P70:AA70" si="4">SUM(P74:P81)</f>
        <v>0</v>
      </c>
      <c r="Q70" s="1313">
        <f t="shared" si="4"/>
        <v>499969</v>
      </c>
      <c r="R70" s="1313">
        <f t="shared" si="4"/>
        <v>666625</v>
      </c>
      <c r="S70" s="1313">
        <f t="shared" si="4"/>
        <v>666625</v>
      </c>
      <c r="T70" s="1313">
        <f>SUM(T74:T81)</f>
        <v>666625</v>
      </c>
      <c r="U70" s="1313">
        <f t="shared" si="4"/>
        <v>666625</v>
      </c>
      <c r="V70" s="1313">
        <f t="shared" si="4"/>
        <v>666625</v>
      </c>
      <c r="W70" s="1313">
        <f t="shared" si="4"/>
        <v>666625</v>
      </c>
      <c r="X70" s="1313">
        <f t="shared" si="4"/>
        <v>666625</v>
      </c>
      <c r="Y70" s="1313">
        <f t="shared" si="4"/>
        <v>166656</v>
      </c>
      <c r="Z70" s="1313">
        <f t="shared" si="4"/>
        <v>0</v>
      </c>
      <c r="AA70" s="1338">
        <f t="shared" si="4"/>
        <v>0</v>
      </c>
    </row>
    <row r="71" spans="1:27">
      <c r="A71" s="1343"/>
      <c r="B71" s="1349"/>
      <c r="C71" s="1350"/>
      <c r="D71" s="1350"/>
      <c r="E71" s="1350"/>
      <c r="F71" s="1352"/>
      <c r="G71" s="1352"/>
      <c r="H71" s="1352"/>
      <c r="I71" s="1352"/>
      <c r="J71" s="1327"/>
      <c r="K71" s="1327"/>
      <c r="L71" s="1323"/>
      <c r="M71" s="1325"/>
      <c r="N71" s="1314"/>
      <c r="O71" s="1327"/>
      <c r="P71" s="1314"/>
      <c r="Q71" s="1314"/>
      <c r="R71" s="1314"/>
      <c r="S71" s="1314"/>
      <c r="T71" s="1314"/>
      <c r="U71" s="1314"/>
      <c r="V71" s="1314"/>
      <c r="W71" s="1314"/>
      <c r="X71" s="1314"/>
      <c r="Y71" s="1314"/>
      <c r="Z71" s="1314"/>
      <c r="AA71" s="1339"/>
    </row>
    <row r="72" spans="1:27">
      <c r="A72" s="1343"/>
      <c r="B72" s="1361" t="s">
        <v>139</v>
      </c>
      <c r="C72" s="1362"/>
      <c r="D72" s="1362">
        <v>75704</v>
      </c>
      <c r="E72" s="1362"/>
      <c r="F72" s="1352" t="s">
        <v>380</v>
      </c>
      <c r="G72" s="1352"/>
      <c r="H72" s="1352"/>
      <c r="I72" s="1352"/>
      <c r="J72" s="1327"/>
      <c r="K72" s="1327"/>
      <c r="L72" s="1323"/>
      <c r="M72" s="1325"/>
      <c r="N72" s="1314"/>
      <c r="O72" s="1327"/>
      <c r="P72" s="1314"/>
      <c r="Q72" s="1314"/>
      <c r="R72" s="1314"/>
      <c r="S72" s="1314"/>
      <c r="T72" s="1314"/>
      <c r="U72" s="1314"/>
      <c r="V72" s="1314"/>
      <c r="W72" s="1314"/>
      <c r="X72" s="1314"/>
      <c r="Y72" s="1314"/>
      <c r="Z72" s="1314"/>
      <c r="AA72" s="1339"/>
    </row>
    <row r="73" spans="1:27">
      <c r="A73" s="1343"/>
      <c r="B73" s="1363"/>
      <c r="C73" s="1332"/>
      <c r="D73" s="1332"/>
      <c r="E73" s="1332"/>
      <c r="F73" s="1352"/>
      <c r="G73" s="1352"/>
      <c r="H73" s="1352"/>
      <c r="I73" s="1352"/>
      <c r="J73" s="1327"/>
      <c r="K73" s="1327"/>
      <c r="L73" s="1323"/>
      <c r="M73" s="1325"/>
      <c r="N73" s="1314"/>
      <c r="O73" s="1328"/>
      <c r="P73" s="1314"/>
      <c r="Q73" s="1314"/>
      <c r="R73" s="1314"/>
      <c r="S73" s="1314"/>
      <c r="T73" s="1314"/>
      <c r="U73" s="1314"/>
      <c r="V73" s="1314"/>
      <c r="W73" s="1314"/>
      <c r="X73" s="1314"/>
      <c r="Y73" s="1314"/>
      <c r="Z73" s="1314"/>
      <c r="AA73" s="1339"/>
    </row>
    <row r="74" spans="1:27">
      <c r="A74" s="1344"/>
      <c r="B74" s="1354" t="s">
        <v>217</v>
      </c>
      <c r="C74" s="1354"/>
      <c r="D74" s="1354"/>
      <c r="E74" s="1354"/>
      <c r="F74" s="1354"/>
      <c r="G74" s="1354"/>
      <c r="H74" s="1354"/>
      <c r="I74" s="1354"/>
      <c r="J74" s="1353"/>
      <c r="K74" s="1327"/>
      <c r="L74" s="1323"/>
      <c r="M74" s="1329">
        <v>75704</v>
      </c>
      <c r="N74" s="1320">
        <f>SUM(P74:Z81)</f>
        <v>5333000</v>
      </c>
      <c r="O74" s="1332" t="s">
        <v>144</v>
      </c>
      <c r="P74" s="1320">
        <v>0</v>
      </c>
      <c r="Q74" s="1320">
        <v>499969</v>
      </c>
      <c r="R74" s="1320">
        <v>666625</v>
      </c>
      <c r="S74" s="1320">
        <v>666625</v>
      </c>
      <c r="T74" s="1320">
        <v>666625</v>
      </c>
      <c r="U74" s="1320">
        <v>666625</v>
      </c>
      <c r="V74" s="1320">
        <v>666625</v>
      </c>
      <c r="W74" s="1320">
        <v>666625</v>
      </c>
      <c r="X74" s="1320">
        <v>666625</v>
      </c>
      <c r="Y74" s="1320">
        <v>166656</v>
      </c>
      <c r="Z74" s="1320">
        <v>0</v>
      </c>
      <c r="AA74" s="1340">
        <v>0</v>
      </c>
    </row>
    <row r="75" spans="1:27">
      <c r="A75" s="1344"/>
      <c r="B75" s="1354"/>
      <c r="C75" s="1354"/>
      <c r="D75" s="1354"/>
      <c r="E75" s="1354"/>
      <c r="F75" s="1354"/>
      <c r="G75" s="1354"/>
      <c r="H75" s="1354"/>
      <c r="I75" s="1354"/>
      <c r="J75" s="1353"/>
      <c r="K75" s="1327"/>
      <c r="L75" s="1323"/>
      <c r="M75" s="1330"/>
      <c r="N75" s="1318"/>
      <c r="O75" s="1327"/>
      <c r="P75" s="1318"/>
      <c r="Q75" s="1318"/>
      <c r="R75" s="1318"/>
      <c r="S75" s="1318"/>
      <c r="T75" s="1318"/>
      <c r="U75" s="1318"/>
      <c r="V75" s="1318"/>
      <c r="W75" s="1318"/>
      <c r="X75" s="1318"/>
      <c r="Y75" s="1318"/>
      <c r="Z75" s="1318"/>
      <c r="AA75" s="1336"/>
    </row>
    <row r="76" spans="1:27">
      <c r="A76" s="1344"/>
      <c r="B76" s="1354"/>
      <c r="C76" s="1354"/>
      <c r="D76" s="1354"/>
      <c r="E76" s="1354"/>
      <c r="F76" s="1354"/>
      <c r="G76" s="1354"/>
      <c r="H76" s="1354"/>
      <c r="I76" s="1354"/>
      <c r="J76" s="1353"/>
      <c r="K76" s="1327"/>
      <c r="L76" s="1315">
        <v>0</v>
      </c>
      <c r="M76" s="1330"/>
      <c r="N76" s="1318"/>
      <c r="O76" s="1327"/>
      <c r="P76" s="1318"/>
      <c r="Q76" s="1318"/>
      <c r="R76" s="1318"/>
      <c r="S76" s="1318"/>
      <c r="T76" s="1318"/>
      <c r="U76" s="1318"/>
      <c r="V76" s="1318"/>
      <c r="W76" s="1318"/>
      <c r="X76" s="1318"/>
      <c r="Y76" s="1318"/>
      <c r="Z76" s="1318"/>
      <c r="AA76" s="1336"/>
    </row>
    <row r="77" spans="1:27">
      <c r="A77" s="1344"/>
      <c r="B77" s="1354"/>
      <c r="C77" s="1354"/>
      <c r="D77" s="1354"/>
      <c r="E77" s="1354"/>
      <c r="F77" s="1354"/>
      <c r="G77" s="1354"/>
      <c r="H77" s="1354"/>
      <c r="I77" s="1354"/>
      <c r="J77" s="1353"/>
      <c r="K77" s="1327"/>
      <c r="L77" s="1315"/>
      <c r="M77" s="1330"/>
      <c r="N77" s="1318"/>
      <c r="O77" s="1327"/>
      <c r="P77" s="1318"/>
      <c r="Q77" s="1318"/>
      <c r="R77" s="1318"/>
      <c r="S77" s="1318"/>
      <c r="T77" s="1318"/>
      <c r="U77" s="1318"/>
      <c r="V77" s="1318"/>
      <c r="W77" s="1318"/>
      <c r="X77" s="1318"/>
      <c r="Y77" s="1318"/>
      <c r="Z77" s="1318"/>
      <c r="AA77" s="1336"/>
    </row>
    <row r="78" spans="1:27">
      <c r="A78" s="1345"/>
      <c r="B78" s="1355" t="s">
        <v>213</v>
      </c>
      <c r="C78" s="1356"/>
      <c r="D78" s="1356"/>
      <c r="E78" s="1356"/>
      <c r="F78" s="1356"/>
      <c r="G78" s="1356"/>
      <c r="H78" s="1356"/>
      <c r="I78" s="1357"/>
      <c r="J78" s="1327"/>
      <c r="K78" s="1327"/>
      <c r="L78" s="1315"/>
      <c r="M78" s="1330"/>
      <c r="N78" s="1318"/>
      <c r="O78" s="1327"/>
      <c r="P78" s="1318"/>
      <c r="Q78" s="1318"/>
      <c r="R78" s="1318"/>
      <c r="S78" s="1318"/>
      <c r="T78" s="1318"/>
      <c r="U78" s="1318"/>
      <c r="V78" s="1318"/>
      <c r="W78" s="1318"/>
      <c r="X78" s="1318"/>
      <c r="Y78" s="1318"/>
      <c r="Z78" s="1318"/>
      <c r="AA78" s="1336"/>
    </row>
    <row r="79" spans="1:27">
      <c r="A79" s="1345"/>
      <c r="B79" s="1355"/>
      <c r="C79" s="1356"/>
      <c r="D79" s="1356"/>
      <c r="E79" s="1356"/>
      <c r="F79" s="1356"/>
      <c r="G79" s="1356"/>
      <c r="H79" s="1356"/>
      <c r="I79" s="1357"/>
      <c r="J79" s="1327"/>
      <c r="K79" s="1327"/>
      <c r="L79" s="1315"/>
      <c r="M79" s="1330"/>
      <c r="N79" s="1318"/>
      <c r="O79" s="1327"/>
      <c r="P79" s="1318"/>
      <c r="Q79" s="1318"/>
      <c r="R79" s="1318"/>
      <c r="S79" s="1318"/>
      <c r="T79" s="1318"/>
      <c r="U79" s="1318"/>
      <c r="V79" s="1318"/>
      <c r="W79" s="1318"/>
      <c r="X79" s="1318"/>
      <c r="Y79" s="1318"/>
      <c r="Z79" s="1318"/>
      <c r="AA79" s="1336"/>
    </row>
    <row r="80" spans="1:27">
      <c r="A80" s="1345"/>
      <c r="B80" s="1355"/>
      <c r="C80" s="1356"/>
      <c r="D80" s="1356"/>
      <c r="E80" s="1356"/>
      <c r="F80" s="1356"/>
      <c r="G80" s="1356"/>
      <c r="H80" s="1356"/>
      <c r="I80" s="1357"/>
      <c r="J80" s="1327"/>
      <c r="K80" s="1327"/>
      <c r="L80" s="1315"/>
      <c r="M80" s="1330"/>
      <c r="N80" s="1318"/>
      <c r="O80" s="1327"/>
      <c r="P80" s="1318"/>
      <c r="Q80" s="1318"/>
      <c r="R80" s="1318"/>
      <c r="S80" s="1318"/>
      <c r="T80" s="1318"/>
      <c r="U80" s="1318"/>
      <c r="V80" s="1318"/>
      <c r="W80" s="1318"/>
      <c r="X80" s="1318"/>
      <c r="Y80" s="1318"/>
      <c r="Z80" s="1318"/>
      <c r="AA80" s="1336"/>
    </row>
    <row r="81" spans="1:27" ht="13.5" thickBot="1">
      <c r="A81" s="1346"/>
      <c r="B81" s="1358"/>
      <c r="C81" s="1359"/>
      <c r="D81" s="1359"/>
      <c r="E81" s="1359"/>
      <c r="F81" s="1359"/>
      <c r="G81" s="1359"/>
      <c r="H81" s="1359"/>
      <c r="I81" s="1360"/>
      <c r="J81" s="1333"/>
      <c r="K81" s="1333"/>
      <c r="L81" s="1316"/>
      <c r="M81" s="1331"/>
      <c r="N81" s="1319"/>
      <c r="O81" s="1333"/>
      <c r="P81" s="1319"/>
      <c r="Q81" s="1319"/>
      <c r="R81" s="1319"/>
      <c r="S81" s="1319"/>
      <c r="T81" s="1319"/>
      <c r="U81" s="1319"/>
      <c r="V81" s="1319"/>
      <c r="W81" s="1319"/>
      <c r="X81" s="1319"/>
      <c r="Y81" s="1319"/>
      <c r="Z81" s="1319"/>
      <c r="AA81" s="1337"/>
    </row>
    <row r="82" spans="1:27" ht="14.25" thickTop="1" thickBot="1">
      <c r="A82" s="142"/>
      <c r="B82" s="147"/>
      <c r="C82" s="147"/>
      <c r="D82" s="147"/>
      <c r="E82" s="147"/>
      <c r="F82" s="147"/>
      <c r="G82" s="147"/>
      <c r="H82" s="147"/>
      <c r="I82" s="147"/>
      <c r="J82" s="148"/>
      <c r="K82" s="148"/>
      <c r="L82" s="149"/>
      <c r="M82" s="150"/>
      <c r="N82" s="151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</row>
    <row r="83" spans="1:27" ht="13.5" thickTop="1">
      <c r="A83" s="1364" t="s">
        <v>218</v>
      </c>
      <c r="B83" s="1365"/>
      <c r="C83" s="1365"/>
      <c r="D83" s="1365"/>
      <c r="E83" s="1365"/>
      <c r="F83" s="1365"/>
      <c r="G83" s="1365"/>
      <c r="H83" s="1365"/>
      <c r="I83" s="1365"/>
      <c r="J83" s="1365"/>
      <c r="K83" s="1366"/>
      <c r="L83" s="1322">
        <f>SUM(N83,L89)</f>
        <v>41889677.000000007</v>
      </c>
      <c r="M83" s="1324" t="s">
        <v>152</v>
      </c>
      <c r="N83" s="1313">
        <f>IF(SUM(N87:N94)=(N70+N57+N44+N31+N18),SUM(N87:N94),"błąd")</f>
        <v>38065600.330000006</v>
      </c>
      <c r="O83" s="1326" t="s">
        <v>144</v>
      </c>
      <c r="P83" s="1313">
        <f t="shared" ref="P83:AA83" si="5">SUM(P87:P94)</f>
        <v>4444852.6399999997</v>
      </c>
      <c r="Q83" s="1313">
        <f t="shared" si="5"/>
        <v>4675138.42</v>
      </c>
      <c r="R83" s="1313">
        <f t="shared" si="5"/>
        <v>4693844.59</v>
      </c>
      <c r="S83" s="1313">
        <f t="shared" si="5"/>
        <v>4588744.07</v>
      </c>
      <c r="T83" s="1313">
        <f t="shared" si="5"/>
        <v>4264504.0999999996</v>
      </c>
      <c r="U83" s="1313">
        <f t="shared" si="5"/>
        <v>3883997.74</v>
      </c>
      <c r="V83" s="1313">
        <f t="shared" si="5"/>
        <v>3055973.64</v>
      </c>
      <c r="W83" s="1313">
        <f t="shared" si="5"/>
        <v>3055973.64</v>
      </c>
      <c r="X83" s="1313">
        <f t="shared" si="5"/>
        <v>2901030.64</v>
      </c>
      <c r="Y83" s="1313">
        <f t="shared" si="5"/>
        <v>1941925.88</v>
      </c>
      <c r="Z83" s="1313">
        <f t="shared" si="5"/>
        <v>559614.97</v>
      </c>
      <c r="AA83" s="1338">
        <f t="shared" si="5"/>
        <v>0</v>
      </c>
    </row>
    <row r="84" spans="1:27">
      <c r="A84" s="1367"/>
      <c r="B84" s="1368"/>
      <c r="C84" s="1368"/>
      <c r="D84" s="1368"/>
      <c r="E84" s="1368"/>
      <c r="F84" s="1368"/>
      <c r="G84" s="1368"/>
      <c r="H84" s="1368"/>
      <c r="I84" s="1368"/>
      <c r="J84" s="1368"/>
      <c r="K84" s="1369"/>
      <c r="L84" s="1323"/>
      <c r="M84" s="1325"/>
      <c r="N84" s="1314"/>
      <c r="O84" s="1327"/>
      <c r="P84" s="1314"/>
      <c r="Q84" s="1314"/>
      <c r="R84" s="1314"/>
      <c r="S84" s="1314"/>
      <c r="T84" s="1314"/>
      <c r="U84" s="1314"/>
      <c r="V84" s="1314"/>
      <c r="W84" s="1314"/>
      <c r="X84" s="1314"/>
      <c r="Y84" s="1314"/>
      <c r="Z84" s="1314"/>
      <c r="AA84" s="1339"/>
    </row>
    <row r="85" spans="1:27">
      <c r="A85" s="1367"/>
      <c r="B85" s="1368"/>
      <c r="C85" s="1368"/>
      <c r="D85" s="1368"/>
      <c r="E85" s="1368"/>
      <c r="F85" s="1368"/>
      <c r="G85" s="1368"/>
      <c r="H85" s="1368"/>
      <c r="I85" s="1368"/>
      <c r="J85" s="1368"/>
      <c r="K85" s="1369"/>
      <c r="L85" s="1323"/>
      <c r="M85" s="1325"/>
      <c r="N85" s="1314"/>
      <c r="O85" s="1327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39"/>
    </row>
    <row r="86" spans="1:27">
      <c r="A86" s="1367"/>
      <c r="B86" s="1368"/>
      <c r="C86" s="1368"/>
      <c r="D86" s="1368"/>
      <c r="E86" s="1368"/>
      <c r="F86" s="1368"/>
      <c r="G86" s="1368"/>
      <c r="H86" s="1368"/>
      <c r="I86" s="1368"/>
      <c r="J86" s="1368"/>
      <c r="K86" s="1369"/>
      <c r="L86" s="1323"/>
      <c r="M86" s="1325"/>
      <c r="N86" s="1314"/>
      <c r="O86" s="1328"/>
      <c r="P86" s="1314"/>
      <c r="Q86" s="1314"/>
      <c r="R86" s="1314"/>
      <c r="S86" s="1314"/>
      <c r="T86" s="1314"/>
      <c r="U86" s="1314"/>
      <c r="V86" s="1314"/>
      <c r="W86" s="1314"/>
      <c r="X86" s="1314"/>
      <c r="Y86" s="1314"/>
      <c r="Z86" s="1314"/>
      <c r="AA86" s="1339"/>
    </row>
    <row r="87" spans="1:27">
      <c r="A87" s="1367"/>
      <c r="B87" s="1368"/>
      <c r="C87" s="1368"/>
      <c r="D87" s="1368"/>
      <c r="E87" s="1368"/>
      <c r="F87" s="1368"/>
      <c r="G87" s="1368"/>
      <c r="H87" s="1368"/>
      <c r="I87" s="1368"/>
      <c r="J87" s="1368"/>
      <c r="K87" s="1369"/>
      <c r="L87" s="1323"/>
      <c r="M87" s="1329">
        <v>75704</v>
      </c>
      <c r="N87" s="1320">
        <f>SUM(P87:Z94)</f>
        <v>38065600.330000006</v>
      </c>
      <c r="O87" s="1332" t="s">
        <v>144</v>
      </c>
      <c r="P87" s="1320">
        <f>SUM(P22,P27,P35,P48,P53,P61,P74)</f>
        <v>4444852.6399999997</v>
      </c>
      <c r="Q87" s="1320">
        <f t="shared" ref="Q87:Y87" si="6">SUM(Q22,Q27,Q35,Q48,Q53,Q61,Q74)</f>
        <v>4675138.42</v>
      </c>
      <c r="R87" s="1320">
        <f t="shared" si="6"/>
        <v>4693844.59</v>
      </c>
      <c r="S87" s="1320">
        <f t="shared" si="6"/>
        <v>4588744.07</v>
      </c>
      <c r="T87" s="1320">
        <f t="shared" si="6"/>
        <v>4264504.0999999996</v>
      </c>
      <c r="U87" s="1320">
        <f t="shared" si="6"/>
        <v>3883997.74</v>
      </c>
      <c r="V87" s="1320">
        <f t="shared" si="6"/>
        <v>3055973.64</v>
      </c>
      <c r="W87" s="1320">
        <f t="shared" si="6"/>
        <v>3055973.64</v>
      </c>
      <c r="X87" s="1320">
        <f t="shared" si="6"/>
        <v>2901030.64</v>
      </c>
      <c r="Y87" s="1320">
        <f t="shared" si="6"/>
        <v>1941925.88</v>
      </c>
      <c r="Z87" s="1320">
        <f t="shared" ref="Z87" si="7">SUM(Z22,Z27,Z35,Z48,Z53,Z61,Z74)</f>
        <v>559614.97</v>
      </c>
      <c r="AA87" s="1340">
        <v>0</v>
      </c>
    </row>
    <row r="88" spans="1:27">
      <c r="A88" s="1367"/>
      <c r="B88" s="1368"/>
      <c r="C88" s="1368"/>
      <c r="D88" s="1368"/>
      <c r="E88" s="1368"/>
      <c r="F88" s="1368"/>
      <c r="G88" s="1368"/>
      <c r="H88" s="1368"/>
      <c r="I88" s="1368"/>
      <c r="J88" s="1368"/>
      <c r="K88" s="1369"/>
      <c r="L88" s="1323"/>
      <c r="M88" s="1330"/>
      <c r="N88" s="1318"/>
      <c r="O88" s="1327"/>
      <c r="P88" s="1318"/>
      <c r="Q88" s="1318"/>
      <c r="R88" s="1318"/>
      <c r="S88" s="1318"/>
      <c r="T88" s="1318"/>
      <c r="U88" s="1318"/>
      <c r="V88" s="1318"/>
      <c r="W88" s="1318"/>
      <c r="X88" s="1318"/>
      <c r="Y88" s="1318"/>
      <c r="Z88" s="1318"/>
      <c r="AA88" s="1336"/>
    </row>
    <row r="89" spans="1:27">
      <c r="A89" s="1367"/>
      <c r="B89" s="1368"/>
      <c r="C89" s="1368"/>
      <c r="D89" s="1368"/>
      <c r="E89" s="1368"/>
      <c r="F89" s="1368"/>
      <c r="G89" s="1368"/>
      <c r="H89" s="1368"/>
      <c r="I89" s="1368"/>
      <c r="J89" s="1368"/>
      <c r="K89" s="1369"/>
      <c r="L89" s="1315">
        <f>SUM(L24,L37,L50,L63,L76)</f>
        <v>3824076.67</v>
      </c>
      <c r="M89" s="1330"/>
      <c r="N89" s="1318"/>
      <c r="O89" s="1327"/>
      <c r="P89" s="1318"/>
      <c r="Q89" s="1318"/>
      <c r="R89" s="1318"/>
      <c r="S89" s="1318"/>
      <c r="T89" s="1318"/>
      <c r="U89" s="1318"/>
      <c r="V89" s="1318"/>
      <c r="W89" s="1318"/>
      <c r="X89" s="1318"/>
      <c r="Y89" s="1318"/>
      <c r="Z89" s="1318"/>
      <c r="AA89" s="1336"/>
    </row>
    <row r="90" spans="1:27">
      <c r="A90" s="1367"/>
      <c r="B90" s="1368"/>
      <c r="C90" s="1368"/>
      <c r="D90" s="1368"/>
      <c r="E90" s="1368"/>
      <c r="F90" s="1368"/>
      <c r="G90" s="1368"/>
      <c r="H90" s="1368"/>
      <c r="I90" s="1368"/>
      <c r="J90" s="1368"/>
      <c r="K90" s="1369"/>
      <c r="L90" s="1315"/>
      <c r="M90" s="1330"/>
      <c r="N90" s="1318"/>
      <c r="O90" s="1327"/>
      <c r="P90" s="1318"/>
      <c r="Q90" s="1318"/>
      <c r="R90" s="1318"/>
      <c r="S90" s="1318"/>
      <c r="T90" s="1318"/>
      <c r="U90" s="1318"/>
      <c r="V90" s="1318"/>
      <c r="W90" s="1318"/>
      <c r="X90" s="1318"/>
      <c r="Y90" s="1318"/>
      <c r="Z90" s="1318"/>
      <c r="AA90" s="1336"/>
    </row>
    <row r="91" spans="1:27">
      <c r="A91" s="1367"/>
      <c r="B91" s="1368"/>
      <c r="C91" s="1368"/>
      <c r="D91" s="1368"/>
      <c r="E91" s="1368"/>
      <c r="F91" s="1368"/>
      <c r="G91" s="1368"/>
      <c r="H91" s="1368"/>
      <c r="I91" s="1368"/>
      <c r="J91" s="1368"/>
      <c r="K91" s="1369"/>
      <c r="L91" s="1315"/>
      <c r="M91" s="1330"/>
      <c r="N91" s="1318"/>
      <c r="O91" s="1327"/>
      <c r="P91" s="1318"/>
      <c r="Q91" s="1318"/>
      <c r="R91" s="1318"/>
      <c r="S91" s="1318"/>
      <c r="T91" s="1318"/>
      <c r="U91" s="1318"/>
      <c r="V91" s="1318"/>
      <c r="W91" s="1318"/>
      <c r="X91" s="1318"/>
      <c r="Y91" s="1318"/>
      <c r="Z91" s="1318"/>
      <c r="AA91" s="1336"/>
    </row>
    <row r="92" spans="1:27">
      <c r="A92" s="1367"/>
      <c r="B92" s="1368"/>
      <c r="C92" s="1368"/>
      <c r="D92" s="1368"/>
      <c r="E92" s="1368"/>
      <c r="F92" s="1368"/>
      <c r="G92" s="1368"/>
      <c r="H92" s="1368"/>
      <c r="I92" s="1368"/>
      <c r="J92" s="1368"/>
      <c r="K92" s="1369"/>
      <c r="L92" s="1315"/>
      <c r="M92" s="1330"/>
      <c r="N92" s="1318"/>
      <c r="O92" s="1327"/>
      <c r="P92" s="1318"/>
      <c r="Q92" s="1318"/>
      <c r="R92" s="1318"/>
      <c r="S92" s="1318"/>
      <c r="T92" s="1318"/>
      <c r="U92" s="1318"/>
      <c r="V92" s="1318"/>
      <c r="W92" s="1318"/>
      <c r="X92" s="1318"/>
      <c r="Y92" s="1318"/>
      <c r="Z92" s="1318"/>
      <c r="AA92" s="1336"/>
    </row>
    <row r="93" spans="1:27">
      <c r="A93" s="1367"/>
      <c r="B93" s="1368"/>
      <c r="C93" s="1368"/>
      <c r="D93" s="1368"/>
      <c r="E93" s="1368"/>
      <c r="F93" s="1368"/>
      <c r="G93" s="1368"/>
      <c r="H93" s="1368"/>
      <c r="I93" s="1368"/>
      <c r="J93" s="1368"/>
      <c r="K93" s="1369"/>
      <c r="L93" s="1315"/>
      <c r="M93" s="1330"/>
      <c r="N93" s="1318"/>
      <c r="O93" s="1327"/>
      <c r="P93" s="1318"/>
      <c r="Q93" s="1318"/>
      <c r="R93" s="1318"/>
      <c r="S93" s="1318"/>
      <c r="T93" s="1318"/>
      <c r="U93" s="1318"/>
      <c r="V93" s="1318"/>
      <c r="W93" s="1318"/>
      <c r="X93" s="1318"/>
      <c r="Y93" s="1318"/>
      <c r="Z93" s="1318"/>
      <c r="AA93" s="1336"/>
    </row>
    <row r="94" spans="1:27" ht="13.5" thickBot="1">
      <c r="A94" s="1370"/>
      <c r="B94" s="1371"/>
      <c r="C94" s="1371"/>
      <c r="D94" s="1371"/>
      <c r="E94" s="1371"/>
      <c r="F94" s="1371"/>
      <c r="G94" s="1371"/>
      <c r="H94" s="1371"/>
      <c r="I94" s="1371"/>
      <c r="J94" s="1371"/>
      <c r="K94" s="1372"/>
      <c r="L94" s="1316"/>
      <c r="M94" s="1331"/>
      <c r="N94" s="1319"/>
      <c r="O94" s="1333"/>
      <c r="P94" s="1319"/>
      <c r="Q94" s="1319"/>
      <c r="R94" s="1319"/>
      <c r="S94" s="1319"/>
      <c r="T94" s="1319"/>
      <c r="U94" s="1319"/>
      <c r="V94" s="1319"/>
      <c r="W94" s="1319"/>
      <c r="X94" s="1319"/>
      <c r="Y94" s="1319"/>
      <c r="Z94" s="1319"/>
      <c r="AA94" s="1337"/>
    </row>
    <row r="95" spans="1:27" ht="13.5" thickTop="1">
      <c r="A95" s="142"/>
      <c r="B95" s="147"/>
      <c r="C95" s="147"/>
      <c r="D95" s="147"/>
      <c r="E95" s="147"/>
      <c r="F95" s="147"/>
      <c r="G95" s="147"/>
      <c r="H95" s="147"/>
      <c r="I95" s="147"/>
      <c r="J95" s="148"/>
      <c r="K95" s="148"/>
      <c r="L95" s="149"/>
      <c r="M95" s="150"/>
      <c r="N95" s="151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</row>
    <row r="96" spans="1:27">
      <c r="A96" s="142"/>
      <c r="B96" s="147"/>
      <c r="C96" s="147"/>
      <c r="D96" s="147"/>
      <c r="E96" s="147"/>
      <c r="F96" s="147"/>
      <c r="G96" s="147"/>
      <c r="H96" s="147"/>
      <c r="I96" s="147"/>
      <c r="J96" s="148"/>
      <c r="K96" s="148"/>
      <c r="L96" s="149"/>
      <c r="M96" s="150"/>
      <c r="N96" s="151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</row>
    <row r="97" spans="1:27">
      <c r="A97" s="142"/>
      <c r="B97" s="147"/>
      <c r="C97" s="147"/>
      <c r="D97" s="147"/>
      <c r="E97" s="147"/>
      <c r="F97" s="147"/>
      <c r="G97" s="147"/>
      <c r="H97" s="147"/>
      <c r="I97" s="147"/>
      <c r="J97" s="148"/>
      <c r="K97" s="148"/>
      <c r="L97" s="149"/>
      <c r="M97" s="150"/>
      <c r="N97" s="151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</row>
    <row r="98" spans="1:27">
      <c r="A98" s="142"/>
      <c r="B98" s="147"/>
      <c r="C98" s="147"/>
      <c r="D98" s="147"/>
      <c r="E98" s="147"/>
      <c r="F98" s="147"/>
      <c r="G98" s="147"/>
      <c r="H98" s="147"/>
      <c r="I98" s="147"/>
      <c r="J98" s="148"/>
      <c r="K98" s="148"/>
      <c r="L98" s="149"/>
      <c r="M98" s="150"/>
      <c r="N98" s="151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</row>
    <row r="99" spans="1:27">
      <c r="A99" s="142"/>
      <c r="B99" s="147"/>
      <c r="C99" s="147"/>
      <c r="D99" s="147"/>
      <c r="E99" s="147"/>
      <c r="F99" s="147"/>
      <c r="G99" s="147"/>
      <c r="H99" s="147"/>
      <c r="I99" s="147"/>
      <c r="J99" s="148"/>
      <c r="K99" s="148"/>
      <c r="L99" s="149"/>
      <c r="M99" s="150"/>
      <c r="N99" s="151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</row>
    <row r="102" spans="1:27">
      <c r="M102" s="156"/>
      <c r="N102" s="156"/>
      <c r="O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</row>
    <row r="103" spans="1:27"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</row>
    <row r="104" spans="1:27">
      <c r="M104" s="156"/>
      <c r="N104" s="156"/>
      <c r="O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</row>
    <row r="105" spans="1:27"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</row>
  </sheetData>
  <sheetProtection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05">
    <mergeCell ref="X87:X94"/>
    <mergeCell ref="Y87:Y94"/>
    <mergeCell ref="Z87:Z94"/>
    <mergeCell ref="AA87:AA94"/>
    <mergeCell ref="L89:L94"/>
    <mergeCell ref="R87:R94"/>
    <mergeCell ref="S87:S94"/>
    <mergeCell ref="T87:T94"/>
    <mergeCell ref="U87:U94"/>
    <mergeCell ref="V87:V94"/>
    <mergeCell ref="W87:W94"/>
    <mergeCell ref="O87:O94"/>
    <mergeCell ref="P87:P94"/>
    <mergeCell ref="Q87:Q94"/>
    <mergeCell ref="S83:S86"/>
    <mergeCell ref="T83:T86"/>
    <mergeCell ref="U83:U86"/>
    <mergeCell ref="V83:V86"/>
    <mergeCell ref="AA74:AA81"/>
    <mergeCell ref="L76:L81"/>
    <mergeCell ref="Q74:Q81"/>
    <mergeCell ref="R74:R81"/>
    <mergeCell ref="S74:S81"/>
    <mergeCell ref="T74:T81"/>
    <mergeCell ref="U74:U81"/>
    <mergeCell ref="V74:V81"/>
    <mergeCell ref="Z83:Z86"/>
    <mergeCell ref="AA83:AA86"/>
    <mergeCell ref="Z74:Z81"/>
    <mergeCell ref="A83:K94"/>
    <mergeCell ref="L83:L88"/>
    <mergeCell ref="M83:M86"/>
    <mergeCell ref="N83:N86"/>
    <mergeCell ref="O83:O86"/>
    <mergeCell ref="P83:P86"/>
    <mergeCell ref="W74:W81"/>
    <mergeCell ref="X74:X81"/>
    <mergeCell ref="Y74:Y81"/>
    <mergeCell ref="W83:W86"/>
    <mergeCell ref="X83:X86"/>
    <mergeCell ref="Y83:Y86"/>
    <mergeCell ref="M87:M94"/>
    <mergeCell ref="N87:N94"/>
    <mergeCell ref="A70:A81"/>
    <mergeCell ref="B70:C71"/>
    <mergeCell ref="D70:E71"/>
    <mergeCell ref="F70:I71"/>
    <mergeCell ref="J70:J81"/>
    <mergeCell ref="B74:I77"/>
    <mergeCell ref="B78:I81"/>
    <mergeCell ref="Q83:Q86"/>
    <mergeCell ref="R83:R86"/>
    <mergeCell ref="B72:C73"/>
    <mergeCell ref="D72:E73"/>
    <mergeCell ref="F72:I73"/>
    <mergeCell ref="Q70:Q73"/>
    <mergeCell ref="R70:R73"/>
    <mergeCell ref="S70:S73"/>
    <mergeCell ref="T70:T73"/>
    <mergeCell ref="U70:U73"/>
    <mergeCell ref="V70:V73"/>
    <mergeCell ref="K70:K81"/>
    <mergeCell ref="L70:L75"/>
    <mergeCell ref="M70:M73"/>
    <mergeCell ref="N70:N73"/>
    <mergeCell ref="O70:O73"/>
    <mergeCell ref="P70:P73"/>
    <mergeCell ref="M74:M81"/>
    <mergeCell ref="N74:N81"/>
    <mergeCell ref="O74:O81"/>
    <mergeCell ref="P74:P81"/>
    <mergeCell ref="W61:W68"/>
    <mergeCell ref="W70:W73"/>
    <mergeCell ref="Z61:Z68"/>
    <mergeCell ref="AA61:AA68"/>
    <mergeCell ref="L63:L68"/>
    <mergeCell ref="Q61:Q68"/>
    <mergeCell ref="R61:R68"/>
    <mergeCell ref="S61:S68"/>
    <mergeCell ref="T61:T68"/>
    <mergeCell ref="U61:U68"/>
    <mergeCell ref="V61:V68"/>
    <mergeCell ref="X70:X73"/>
    <mergeCell ref="Y70:Y73"/>
    <mergeCell ref="Z70:Z73"/>
    <mergeCell ref="AA70:AA73"/>
    <mergeCell ref="Z57:Z60"/>
    <mergeCell ref="AA57:AA60"/>
    <mergeCell ref="B59:C60"/>
    <mergeCell ref="D59:E60"/>
    <mergeCell ref="F59:I60"/>
    <mergeCell ref="B61:I64"/>
    <mergeCell ref="M61:M68"/>
    <mergeCell ref="N61:N68"/>
    <mergeCell ref="O61:O68"/>
    <mergeCell ref="P61:P68"/>
    <mergeCell ref="T57:T60"/>
    <mergeCell ref="U57:U60"/>
    <mergeCell ref="V57:V60"/>
    <mergeCell ref="W57:W60"/>
    <mergeCell ref="X57:X60"/>
    <mergeCell ref="Y57:Y60"/>
    <mergeCell ref="N57:N60"/>
    <mergeCell ref="O57:O60"/>
    <mergeCell ref="P57:P60"/>
    <mergeCell ref="Q57:Q60"/>
    <mergeCell ref="R57:R60"/>
    <mergeCell ref="S57:S60"/>
    <mergeCell ref="X61:X68"/>
    <mergeCell ref="Y61:Y68"/>
    <mergeCell ref="A57:A68"/>
    <mergeCell ref="B57:C58"/>
    <mergeCell ref="D57:E58"/>
    <mergeCell ref="F57:I58"/>
    <mergeCell ref="J57:J68"/>
    <mergeCell ref="K57:K68"/>
    <mergeCell ref="L57:L62"/>
    <mergeCell ref="M57:M60"/>
    <mergeCell ref="T53:T55"/>
    <mergeCell ref="A44:A55"/>
    <mergeCell ref="D44:E45"/>
    <mergeCell ref="F44:I45"/>
    <mergeCell ref="J44:J55"/>
    <mergeCell ref="K44:K55"/>
    <mergeCell ref="B48:I51"/>
    <mergeCell ref="B52:I55"/>
    <mergeCell ref="B65:I68"/>
    <mergeCell ref="B46:C47"/>
    <mergeCell ref="D46:E47"/>
    <mergeCell ref="F46:I47"/>
    <mergeCell ref="R44:R47"/>
    <mergeCell ref="S44:S47"/>
    <mergeCell ref="T44:T47"/>
    <mergeCell ref="B44:C45"/>
    <mergeCell ref="L50:L55"/>
    <mergeCell ref="P53:P55"/>
    <mergeCell ref="Q53:Q55"/>
    <mergeCell ref="R53:R55"/>
    <mergeCell ref="S53:S55"/>
    <mergeCell ref="R48:R52"/>
    <mergeCell ref="S48:S52"/>
    <mergeCell ref="T48:T52"/>
    <mergeCell ref="U48:U52"/>
    <mergeCell ref="N54:N55"/>
    <mergeCell ref="U53:U55"/>
    <mergeCell ref="M48:M55"/>
    <mergeCell ref="O48:O55"/>
    <mergeCell ref="P48:P52"/>
    <mergeCell ref="Q48:Q52"/>
    <mergeCell ref="X48:X52"/>
    <mergeCell ref="Y48:Y52"/>
    <mergeCell ref="Z48:Z52"/>
    <mergeCell ref="AA48:AA55"/>
    <mergeCell ref="N49:N52"/>
    <mergeCell ref="V48:V52"/>
    <mergeCell ref="W48:W52"/>
    <mergeCell ref="Z53:Z55"/>
    <mergeCell ref="V53:V55"/>
    <mergeCell ref="W53:W55"/>
    <mergeCell ref="X53:X55"/>
    <mergeCell ref="Y53:Y55"/>
    <mergeCell ref="Y35:Y42"/>
    <mergeCell ref="Z35:Z42"/>
    <mergeCell ref="AA35:AA42"/>
    <mergeCell ref="L37:L42"/>
    <mergeCell ref="Q35:Q42"/>
    <mergeCell ref="X44:X47"/>
    <mergeCell ref="Y44:Y47"/>
    <mergeCell ref="Z44:Z47"/>
    <mergeCell ref="AA44:AA47"/>
    <mergeCell ref="X35:X42"/>
    <mergeCell ref="S35:S42"/>
    <mergeCell ref="T35:T42"/>
    <mergeCell ref="U35:U42"/>
    <mergeCell ref="V35:V42"/>
    <mergeCell ref="W35:W42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X31:X34"/>
    <mergeCell ref="Y31:Y34"/>
    <mergeCell ref="Z31:Z34"/>
    <mergeCell ref="AA31:AA34"/>
    <mergeCell ref="B33:C34"/>
    <mergeCell ref="D33:E34"/>
    <mergeCell ref="F33:I34"/>
    <mergeCell ref="R31:R34"/>
    <mergeCell ref="S31:S34"/>
    <mergeCell ref="T31:T34"/>
    <mergeCell ref="U31:U34"/>
    <mergeCell ref="V31:V34"/>
    <mergeCell ref="W31:W34"/>
    <mergeCell ref="L31:L36"/>
    <mergeCell ref="M31:M34"/>
    <mergeCell ref="N31:N34"/>
    <mergeCell ref="O31:O34"/>
    <mergeCell ref="P31:P34"/>
    <mergeCell ref="Q31:Q34"/>
    <mergeCell ref="M35:M42"/>
    <mergeCell ref="N35:N42"/>
    <mergeCell ref="O35:O42"/>
    <mergeCell ref="P35:P42"/>
    <mergeCell ref="R35:R42"/>
    <mergeCell ref="A31:A42"/>
    <mergeCell ref="B31:C32"/>
    <mergeCell ref="D31:E32"/>
    <mergeCell ref="F31:I32"/>
    <mergeCell ref="J31:J42"/>
    <mergeCell ref="K31:K42"/>
    <mergeCell ref="B35:I38"/>
    <mergeCell ref="B39:I42"/>
    <mergeCell ref="A18:A29"/>
    <mergeCell ref="D18:E19"/>
    <mergeCell ref="F18:I19"/>
    <mergeCell ref="J18:J29"/>
    <mergeCell ref="K18:K29"/>
    <mergeCell ref="B22:I25"/>
    <mergeCell ref="B26:I29"/>
    <mergeCell ref="B20:C21"/>
    <mergeCell ref="D20:E21"/>
    <mergeCell ref="F20:I21"/>
    <mergeCell ref="B18:C19"/>
    <mergeCell ref="Y22:Y26"/>
    <mergeCell ref="Z22:Z26"/>
    <mergeCell ref="Y18:Y21"/>
    <mergeCell ref="Z18:Z21"/>
    <mergeCell ref="V22:V26"/>
    <mergeCell ref="W22:W26"/>
    <mergeCell ref="Z27:Z29"/>
    <mergeCell ref="AA27:AA29"/>
    <mergeCell ref="N28:N29"/>
    <mergeCell ref="V27:V29"/>
    <mergeCell ref="W27:W29"/>
    <mergeCell ref="X27:X29"/>
    <mergeCell ref="Y27:Y29"/>
    <mergeCell ref="T27:T29"/>
    <mergeCell ref="U27:U29"/>
    <mergeCell ref="AA18:AA21"/>
    <mergeCell ref="R18:R21"/>
    <mergeCell ref="S18:S21"/>
    <mergeCell ref="T18:T21"/>
    <mergeCell ref="U18:U21"/>
    <mergeCell ref="V18:V21"/>
    <mergeCell ref="W18:W21"/>
    <mergeCell ref="X22:X26"/>
    <mergeCell ref="AA22:AA26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N23:N2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topLeftCell="R1" zoomScale="130" zoomScaleNormal="100" zoomScaleSheetLayoutView="130" workbookViewId="0">
      <selection activeCell="Z16" sqref="Z16"/>
    </sheetView>
  </sheetViews>
  <sheetFormatPr defaultRowHeight="12.75"/>
  <cols>
    <col min="1" max="1" width="9.140625" style="789"/>
    <col min="2" max="2" width="3.7109375" style="789" customWidth="1"/>
    <col min="3" max="4" width="13.7109375" style="825" customWidth="1"/>
    <col min="5" max="6" width="16.7109375" style="790" customWidth="1"/>
    <col min="7" max="7" width="16.85546875" style="790" customWidth="1"/>
    <col min="8" max="18" width="16.7109375" style="790" customWidth="1"/>
    <col min="19" max="30" width="13.7109375" style="790" customWidth="1"/>
    <col min="31" max="16384" width="9.140625" style="789"/>
  </cols>
  <sheetData>
    <row r="2" spans="1:30" ht="20.25">
      <c r="B2" s="1374" t="s">
        <v>350</v>
      </c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  <c r="S2" s="1374"/>
      <c r="T2" s="1374"/>
      <c r="U2" s="1374"/>
      <c r="V2" s="1374"/>
      <c r="W2" s="1374"/>
      <c r="X2" s="1374"/>
      <c r="Y2" s="1374"/>
      <c r="Z2" s="1374"/>
      <c r="AA2" s="1374"/>
      <c r="AB2" s="1374"/>
      <c r="AC2" s="1374"/>
      <c r="AD2" s="1374"/>
    </row>
    <row r="4" spans="1:30" ht="15">
      <c r="A4" s="791"/>
      <c r="B4" s="1394" t="s">
        <v>221</v>
      </c>
      <c r="C4" s="1396" t="s">
        <v>351</v>
      </c>
      <c r="D4" s="1397"/>
      <c r="E4" s="1392">
        <v>2012</v>
      </c>
      <c r="F4" s="1393"/>
      <c r="G4" s="1392">
        <f>E4+1</f>
        <v>2013</v>
      </c>
      <c r="H4" s="1393"/>
      <c r="I4" s="1392">
        <f>G4+1</f>
        <v>2014</v>
      </c>
      <c r="J4" s="1393"/>
      <c r="K4" s="1392">
        <f>I4+1</f>
        <v>2015</v>
      </c>
      <c r="L4" s="1393"/>
      <c r="M4" s="1392">
        <f>K4+1</f>
        <v>2016</v>
      </c>
      <c r="N4" s="1393"/>
      <c r="O4" s="1392">
        <f>M4+1</f>
        <v>2017</v>
      </c>
      <c r="P4" s="1393"/>
      <c r="Q4" s="1392">
        <f>O4+1</f>
        <v>2018</v>
      </c>
      <c r="R4" s="1393"/>
      <c r="S4" s="1392">
        <f>Q4+1</f>
        <v>2019</v>
      </c>
      <c r="T4" s="1393"/>
      <c r="U4" s="1392">
        <f>S4+1</f>
        <v>2020</v>
      </c>
      <c r="V4" s="1393"/>
      <c r="W4" s="1392">
        <f>U4+1</f>
        <v>2021</v>
      </c>
      <c r="X4" s="1393"/>
      <c r="Y4" s="1392">
        <f>W4+1</f>
        <v>2022</v>
      </c>
      <c r="Z4" s="1393"/>
      <c r="AA4" s="1392">
        <f>Y4+1</f>
        <v>2023</v>
      </c>
      <c r="AB4" s="1393"/>
      <c r="AC4" s="1392">
        <f>AA4+1</f>
        <v>2024</v>
      </c>
      <c r="AD4" s="1393"/>
    </row>
    <row r="5" spans="1:30" ht="15">
      <c r="A5" s="791"/>
      <c r="B5" s="1395"/>
      <c r="C5" s="1398"/>
      <c r="D5" s="1399"/>
      <c r="E5" s="792" t="s">
        <v>298</v>
      </c>
      <c r="F5" s="792" t="s">
        <v>299</v>
      </c>
      <c r="G5" s="792" t="s">
        <v>298</v>
      </c>
      <c r="H5" s="792" t="s">
        <v>299</v>
      </c>
      <c r="I5" s="792" t="s">
        <v>298</v>
      </c>
      <c r="J5" s="792" t="s">
        <v>299</v>
      </c>
      <c r="K5" s="792" t="s">
        <v>298</v>
      </c>
      <c r="L5" s="792" t="s">
        <v>299</v>
      </c>
      <c r="M5" s="792" t="s">
        <v>298</v>
      </c>
      <c r="N5" s="792" t="s">
        <v>299</v>
      </c>
      <c r="O5" s="792" t="s">
        <v>298</v>
      </c>
      <c r="P5" s="792" t="s">
        <v>299</v>
      </c>
      <c r="Q5" s="792" t="s">
        <v>298</v>
      </c>
      <c r="R5" s="792" t="s">
        <v>299</v>
      </c>
      <c r="S5" s="792" t="s">
        <v>298</v>
      </c>
      <c r="T5" s="792" t="s">
        <v>299</v>
      </c>
      <c r="U5" s="792" t="s">
        <v>298</v>
      </c>
      <c r="V5" s="792" t="s">
        <v>299</v>
      </c>
      <c r="W5" s="792" t="s">
        <v>298</v>
      </c>
      <c r="X5" s="792" t="s">
        <v>299</v>
      </c>
      <c r="Y5" s="792" t="s">
        <v>298</v>
      </c>
      <c r="Z5" s="792" t="s">
        <v>299</v>
      </c>
      <c r="AA5" s="792" t="s">
        <v>298</v>
      </c>
      <c r="AB5" s="792" t="s">
        <v>299</v>
      </c>
      <c r="AC5" s="792" t="s">
        <v>298</v>
      </c>
      <c r="AD5" s="792" t="s">
        <v>299</v>
      </c>
    </row>
    <row r="6" spans="1:30" ht="30" customHeight="1">
      <c r="A6" s="791"/>
      <c r="B6" s="793" t="s">
        <v>55</v>
      </c>
      <c r="C6" s="1388" t="s">
        <v>352</v>
      </c>
      <c r="D6" s="1389"/>
      <c r="E6" s="794">
        <f t="shared" ref="E6:AD6" si="0">SUM(E8:E10)</f>
        <v>6998867</v>
      </c>
      <c r="F6" s="794">
        <f t="shared" si="0"/>
        <v>2173467</v>
      </c>
      <c r="G6" s="794">
        <f t="shared" si="0"/>
        <v>6160865</v>
      </c>
      <c r="H6" s="794">
        <f t="shared" si="0"/>
        <v>1988749</v>
      </c>
      <c r="I6" s="794">
        <f t="shared" si="0"/>
        <v>6329928</v>
      </c>
      <c r="J6" s="794">
        <f t="shared" si="0"/>
        <v>1858580</v>
      </c>
      <c r="K6" s="794">
        <f t="shared" si="0"/>
        <v>6912100</v>
      </c>
      <c r="L6" s="794">
        <f t="shared" si="0"/>
        <v>1771207</v>
      </c>
      <c r="M6" s="794">
        <f t="shared" si="0"/>
        <v>6818549</v>
      </c>
      <c r="N6" s="794">
        <f t="shared" si="0"/>
        <v>1451021</v>
      </c>
      <c r="O6" s="794">
        <f t="shared" si="0"/>
        <v>6789237</v>
      </c>
      <c r="P6" s="794">
        <f t="shared" si="0"/>
        <v>1139391</v>
      </c>
      <c r="Q6" s="794">
        <f t="shared" si="0"/>
        <v>4738242</v>
      </c>
      <c r="R6" s="794">
        <f t="shared" si="0"/>
        <v>730849</v>
      </c>
      <c r="S6" s="794">
        <f t="shared" si="0"/>
        <v>4641424</v>
      </c>
      <c r="T6" s="794">
        <f t="shared" si="0"/>
        <v>475857</v>
      </c>
      <c r="U6" s="794">
        <f t="shared" si="0"/>
        <v>621081</v>
      </c>
      <c r="V6" s="794">
        <f t="shared" si="0"/>
        <v>223044</v>
      </c>
      <c r="W6" s="794">
        <f t="shared" si="0"/>
        <v>621081</v>
      </c>
      <c r="X6" s="794">
        <f t="shared" si="0"/>
        <v>174939</v>
      </c>
      <c r="Y6" s="794">
        <f t="shared" si="0"/>
        <v>621081</v>
      </c>
      <c r="Z6" s="794">
        <f t="shared" si="0"/>
        <v>126834</v>
      </c>
      <c r="AA6" s="794">
        <f t="shared" si="0"/>
        <v>621081</v>
      </c>
      <c r="AB6" s="794">
        <f t="shared" si="0"/>
        <v>78728</v>
      </c>
      <c r="AC6" s="794">
        <f t="shared" si="0"/>
        <v>392549</v>
      </c>
      <c r="AD6" s="794">
        <f t="shared" si="0"/>
        <v>32097</v>
      </c>
    </row>
    <row r="7" spans="1:30" ht="19.149999999999999" customHeight="1">
      <c r="A7" s="791"/>
      <c r="B7" s="795"/>
      <c r="C7" s="796" t="s">
        <v>353</v>
      </c>
      <c r="D7" s="796"/>
      <c r="E7" s="797"/>
      <c r="F7" s="797"/>
      <c r="G7" s="797"/>
      <c r="H7" s="797"/>
      <c r="I7" s="797"/>
      <c r="J7" s="798"/>
      <c r="K7" s="797"/>
      <c r="L7" s="797"/>
      <c r="M7" s="797"/>
      <c r="N7" s="797"/>
      <c r="O7" s="797"/>
      <c r="P7" s="797"/>
      <c r="Q7" s="797"/>
      <c r="R7" s="797"/>
      <c r="S7" s="797"/>
      <c r="T7" s="798"/>
      <c r="U7" s="797"/>
      <c r="V7" s="797"/>
      <c r="W7" s="797"/>
      <c r="X7" s="797"/>
      <c r="Y7" s="797"/>
      <c r="Z7" s="797"/>
      <c r="AA7" s="797"/>
      <c r="AB7" s="797"/>
      <c r="AC7" s="797"/>
      <c r="AD7" s="798"/>
    </row>
    <row r="8" spans="1:30" ht="19.149999999999999" customHeight="1">
      <c r="A8" s="791"/>
      <c r="B8" s="793">
        <v>1</v>
      </c>
      <c r="C8" s="1388" t="s">
        <v>354</v>
      </c>
      <c r="D8" s="1389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</row>
    <row r="9" spans="1:30" ht="19.149999999999999" customHeight="1">
      <c r="A9" s="791"/>
      <c r="B9" s="793">
        <v>2</v>
      </c>
      <c r="C9" s="1388" t="s">
        <v>355</v>
      </c>
      <c r="D9" s="1389"/>
      <c r="E9" s="794">
        <f>'HSZ do złotówek'!G30</f>
        <v>698867</v>
      </c>
      <c r="F9" s="794">
        <f>'HSZ do złotówek'!H30</f>
        <v>76571</v>
      </c>
      <c r="G9" s="794">
        <f>'HSZ do złotówek'!I30</f>
        <v>660865</v>
      </c>
      <c r="H9" s="794">
        <f>'HSZ do złotówek'!J$30</f>
        <v>57577</v>
      </c>
      <c r="I9" s="794">
        <f>'HSZ do złotówek'!K$30</f>
        <v>829928</v>
      </c>
      <c r="J9" s="794">
        <f>'HSZ do złotówek'!L$30</f>
        <v>214589</v>
      </c>
      <c r="K9" s="794">
        <f>'HSZ do złotówek'!M$30</f>
        <v>1012100</v>
      </c>
      <c r="L9" s="794">
        <f>'HSZ do złotówek'!N$30</f>
        <v>440274</v>
      </c>
      <c r="M9" s="794">
        <f>'HSZ do złotówek'!O$30</f>
        <v>818549</v>
      </c>
      <c r="N9" s="794">
        <f>'HSZ do złotówek'!P$30</f>
        <v>427748</v>
      </c>
      <c r="O9" s="794">
        <f>'HSZ do złotówek'!Q$30</f>
        <v>789237</v>
      </c>
      <c r="P9" s="794">
        <f>'HSZ do złotówek'!R$30</f>
        <v>374067</v>
      </c>
      <c r="Q9" s="794">
        <f>'HSZ do złotówek'!S$30</f>
        <v>738242</v>
      </c>
      <c r="R9" s="794">
        <f>'HSZ do złotówek'!T$30</f>
        <v>321539</v>
      </c>
      <c r="S9" s="794">
        <f>'HSZ do złotówek'!U$30</f>
        <v>641424</v>
      </c>
      <c r="T9" s="794">
        <f>'HSZ do złotówek'!V$30</f>
        <v>271202</v>
      </c>
      <c r="U9" s="794">
        <f>'HSZ do złotówek'!W$30</f>
        <v>621081</v>
      </c>
      <c r="V9" s="794">
        <f>'HSZ do złotówek'!X$30</f>
        <v>223044</v>
      </c>
      <c r="W9" s="794">
        <f>'HSZ do złotówek'!Y$30</f>
        <v>621081</v>
      </c>
      <c r="X9" s="794">
        <f>'HSZ do złotówek'!Z$30</f>
        <v>174939</v>
      </c>
      <c r="Y9" s="794">
        <f>'HSZ do złotówek'!AA$30</f>
        <v>621081</v>
      </c>
      <c r="Z9" s="794">
        <f>'HSZ do złotówek'!AB$30</f>
        <v>126834</v>
      </c>
      <c r="AA9" s="794">
        <f>'HSZ do złotówek'!AC$30</f>
        <v>621081</v>
      </c>
      <c r="AB9" s="794">
        <f>'HSZ do złotówek'!AD$30</f>
        <v>78728</v>
      </c>
      <c r="AC9" s="794">
        <f>'HSZ do złotówek'!AE$30</f>
        <v>392549</v>
      </c>
      <c r="AD9" s="794">
        <f>'HSZ do złotówek'!AF$30</f>
        <v>32097</v>
      </c>
    </row>
    <row r="10" spans="1:30" ht="25.5" customHeight="1" thickBot="1">
      <c r="A10" s="791"/>
      <c r="B10" s="799">
        <v>3</v>
      </c>
      <c r="C10" s="1382" t="s">
        <v>356</v>
      </c>
      <c r="D10" s="1383"/>
      <c r="E10" s="800">
        <f>'HSZ do złotówek'!G$41</f>
        <v>6300000</v>
      </c>
      <c r="F10" s="800">
        <f>'HSZ do złotówek'!H$41</f>
        <v>2096896</v>
      </c>
      <c r="G10" s="800">
        <f>'HSZ do złotówek'!I$41</f>
        <v>5500000</v>
      </c>
      <c r="H10" s="800">
        <f>'HSZ do złotówek'!J$41</f>
        <v>1931172</v>
      </c>
      <c r="I10" s="800">
        <f>'HSZ do złotówek'!K$41</f>
        <v>5500000</v>
      </c>
      <c r="J10" s="800">
        <f>'HSZ do złotówek'!L$41</f>
        <v>1643991</v>
      </c>
      <c r="K10" s="800">
        <f>'HSZ do złotówek'!M$41</f>
        <v>5900000</v>
      </c>
      <c r="L10" s="800">
        <f>'HSZ do złotówek'!N$41</f>
        <v>1330933</v>
      </c>
      <c r="M10" s="800">
        <f>'HSZ do złotówek'!O$41</f>
        <v>6000000</v>
      </c>
      <c r="N10" s="800">
        <f>'HSZ do złotówek'!P$41</f>
        <v>1023273</v>
      </c>
      <c r="O10" s="800">
        <f>'HSZ do złotówek'!Q$41</f>
        <v>6000000</v>
      </c>
      <c r="P10" s="800">
        <f>'HSZ do złotówek'!R$41</f>
        <v>765324</v>
      </c>
      <c r="Q10" s="800">
        <f>'HSZ do złotówek'!S$41</f>
        <v>4000000</v>
      </c>
      <c r="R10" s="800">
        <f>'HSZ do złotówek'!T$41</f>
        <v>409310</v>
      </c>
      <c r="S10" s="800">
        <f>'HSZ do złotówek'!U$41</f>
        <v>4000000</v>
      </c>
      <c r="T10" s="800">
        <f>'HSZ do złotówek'!V$41</f>
        <v>204655</v>
      </c>
      <c r="U10" s="800">
        <f>'HSZ do złotówek'!W$41</f>
        <v>0</v>
      </c>
      <c r="V10" s="800">
        <f>'HSZ do złotówek'!X$41</f>
        <v>0</v>
      </c>
      <c r="W10" s="800">
        <f>'HSZ do złotówek'!Y$41</f>
        <v>0</v>
      </c>
      <c r="X10" s="800">
        <f>'HSZ do złotówek'!Z$41</f>
        <v>0</v>
      </c>
      <c r="Y10" s="800">
        <f>'HSZ do złotówek'!AA$41</f>
        <v>0</v>
      </c>
      <c r="Z10" s="800">
        <f>'HSZ do złotówek'!AB$41</f>
        <v>0</v>
      </c>
      <c r="AA10" s="800">
        <f>'HSZ do złotówek'!AC$41</f>
        <v>0</v>
      </c>
      <c r="AB10" s="800">
        <f>'HSZ do złotówek'!AD$41</f>
        <v>0</v>
      </c>
      <c r="AC10" s="800">
        <f>'HSZ do złotówek'!AE$41</f>
        <v>0</v>
      </c>
      <c r="AD10" s="800">
        <f>'HSZ do złotówek'!AF$41</f>
        <v>0</v>
      </c>
    </row>
    <row r="11" spans="1:30" ht="19.149999999999999" customHeight="1" thickBot="1">
      <c r="A11" s="791"/>
      <c r="B11" s="801"/>
      <c r="C11" s="1390" t="s">
        <v>152</v>
      </c>
      <c r="D11" s="1391"/>
      <c r="E11" s="802">
        <f t="shared" ref="E11:AD11" si="1">E6</f>
        <v>6998867</v>
      </c>
      <c r="F11" s="802">
        <f t="shared" si="1"/>
        <v>2173467</v>
      </c>
      <c r="G11" s="802">
        <f t="shared" si="1"/>
        <v>6160865</v>
      </c>
      <c r="H11" s="802">
        <f t="shared" si="1"/>
        <v>1988749</v>
      </c>
      <c r="I11" s="802">
        <f t="shared" si="1"/>
        <v>6329928</v>
      </c>
      <c r="J11" s="802">
        <f t="shared" si="1"/>
        <v>1858580</v>
      </c>
      <c r="K11" s="802">
        <f t="shared" si="1"/>
        <v>6912100</v>
      </c>
      <c r="L11" s="802">
        <f t="shared" si="1"/>
        <v>1771207</v>
      </c>
      <c r="M11" s="802">
        <f t="shared" si="1"/>
        <v>6818549</v>
      </c>
      <c r="N11" s="802">
        <f t="shared" si="1"/>
        <v>1451021</v>
      </c>
      <c r="O11" s="802">
        <f t="shared" si="1"/>
        <v>6789237</v>
      </c>
      <c r="P11" s="802">
        <f t="shared" si="1"/>
        <v>1139391</v>
      </c>
      <c r="Q11" s="802">
        <f t="shared" si="1"/>
        <v>4738242</v>
      </c>
      <c r="R11" s="802">
        <f t="shared" si="1"/>
        <v>730849</v>
      </c>
      <c r="S11" s="802">
        <f t="shared" si="1"/>
        <v>4641424</v>
      </c>
      <c r="T11" s="802">
        <f t="shared" si="1"/>
        <v>475857</v>
      </c>
      <c r="U11" s="802">
        <f t="shared" si="1"/>
        <v>621081</v>
      </c>
      <c r="V11" s="802">
        <f t="shared" si="1"/>
        <v>223044</v>
      </c>
      <c r="W11" s="802">
        <f t="shared" si="1"/>
        <v>621081</v>
      </c>
      <c r="X11" s="802">
        <f t="shared" si="1"/>
        <v>174939</v>
      </c>
      <c r="Y11" s="802">
        <f t="shared" si="1"/>
        <v>621081</v>
      </c>
      <c r="Z11" s="802">
        <f t="shared" si="1"/>
        <v>126834</v>
      </c>
      <c r="AA11" s="802">
        <f t="shared" si="1"/>
        <v>621081</v>
      </c>
      <c r="AB11" s="802">
        <f t="shared" si="1"/>
        <v>78728</v>
      </c>
      <c r="AC11" s="802">
        <f t="shared" si="1"/>
        <v>392549</v>
      </c>
      <c r="AD11" s="802">
        <f t="shared" si="1"/>
        <v>32097</v>
      </c>
    </row>
    <row r="12" spans="1:30" ht="25.5" customHeight="1">
      <c r="A12" s="791"/>
      <c r="B12" s="803" t="s">
        <v>56</v>
      </c>
      <c r="C12" s="1386" t="s">
        <v>357</v>
      </c>
      <c r="D12" s="1387"/>
      <c r="E12" s="875">
        <f t="shared" ref="E12:AD12" si="2">SUM(E14:E16)</f>
        <v>0</v>
      </c>
      <c r="F12" s="875">
        <f t="shared" si="2"/>
        <v>0</v>
      </c>
      <c r="G12" s="804">
        <f t="shared" si="2"/>
        <v>0</v>
      </c>
      <c r="H12" s="804">
        <f t="shared" si="2"/>
        <v>0</v>
      </c>
      <c r="I12" s="804">
        <f t="shared" si="2"/>
        <v>0</v>
      </c>
      <c r="J12" s="804">
        <f t="shared" si="2"/>
        <v>318739</v>
      </c>
      <c r="K12" s="804">
        <f t="shared" si="2"/>
        <v>0</v>
      </c>
      <c r="L12" s="804">
        <f>SUM(L14:L16)</f>
        <v>409022</v>
      </c>
      <c r="M12" s="804">
        <f t="shared" si="2"/>
        <v>0</v>
      </c>
      <c r="N12" s="804">
        <f t="shared" si="2"/>
        <v>409022</v>
      </c>
      <c r="O12" s="804">
        <f t="shared" si="2"/>
        <v>0</v>
      </c>
      <c r="P12" s="804">
        <f t="shared" si="2"/>
        <v>485665</v>
      </c>
      <c r="Q12" s="804">
        <f t="shared" si="2"/>
        <v>0</v>
      </c>
      <c r="R12" s="804">
        <f t="shared" si="2"/>
        <v>560920</v>
      </c>
      <c r="S12" s="804">
        <f t="shared" si="2"/>
        <v>0</v>
      </c>
      <c r="T12" s="804">
        <f t="shared" si="2"/>
        <v>633760</v>
      </c>
      <c r="U12" s="804">
        <f t="shared" si="2"/>
        <v>3000000</v>
      </c>
      <c r="V12" s="804">
        <f t="shared" si="2"/>
        <v>713853</v>
      </c>
      <c r="W12" s="804">
        <f t="shared" si="2"/>
        <v>6000000</v>
      </c>
      <c r="X12" s="804">
        <f t="shared" si="2"/>
        <v>1833592</v>
      </c>
      <c r="Y12" s="804">
        <f t="shared" si="2"/>
        <v>6000000</v>
      </c>
      <c r="Z12" s="804">
        <f t="shared" si="2"/>
        <v>1661112</v>
      </c>
      <c r="AA12" s="804">
        <f t="shared" si="2"/>
        <v>6000000</v>
      </c>
      <c r="AB12" s="804">
        <f t="shared" si="2"/>
        <v>288404</v>
      </c>
      <c r="AC12" s="804">
        <f t="shared" si="2"/>
        <v>4342634</v>
      </c>
      <c r="AD12" s="804">
        <f t="shared" si="2"/>
        <v>188471</v>
      </c>
    </row>
    <row r="13" spans="1:30">
      <c r="A13" s="791"/>
      <c r="B13" s="795"/>
      <c r="C13" s="796" t="s">
        <v>358</v>
      </c>
      <c r="D13" s="796"/>
      <c r="E13" s="876"/>
      <c r="F13" s="876"/>
      <c r="G13" s="797"/>
      <c r="H13" s="797"/>
      <c r="I13" s="797"/>
      <c r="J13" s="798"/>
      <c r="K13" s="797"/>
      <c r="L13" s="797"/>
      <c r="M13" s="797"/>
      <c r="N13" s="797"/>
      <c r="O13" s="797"/>
      <c r="P13" s="797"/>
      <c r="Q13" s="797"/>
      <c r="R13" s="797"/>
      <c r="S13" s="797"/>
      <c r="T13" s="798"/>
      <c r="U13" s="797"/>
      <c r="V13" s="797"/>
      <c r="W13" s="797"/>
      <c r="X13" s="797"/>
      <c r="Y13" s="797"/>
      <c r="Z13" s="797"/>
      <c r="AA13" s="797"/>
      <c r="AB13" s="797"/>
      <c r="AC13" s="797"/>
      <c r="AD13" s="798"/>
    </row>
    <row r="14" spans="1:30">
      <c r="A14" s="791"/>
      <c r="B14" s="793">
        <v>1</v>
      </c>
      <c r="C14" s="1388" t="s">
        <v>354</v>
      </c>
      <c r="D14" s="1389"/>
      <c r="E14" s="877"/>
      <c r="F14" s="877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</row>
    <row r="15" spans="1:30">
      <c r="A15" s="791"/>
      <c r="B15" s="793">
        <v>2</v>
      </c>
      <c r="C15" s="1388" t="s">
        <v>355</v>
      </c>
      <c r="D15" s="1389"/>
      <c r="E15" s="877"/>
      <c r="F15" s="877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</row>
    <row r="16" spans="1:30" ht="25.5" customHeight="1" thickBot="1">
      <c r="A16" s="791"/>
      <c r="B16" s="799">
        <v>3</v>
      </c>
      <c r="C16" s="1382" t="s">
        <v>356</v>
      </c>
      <c r="D16" s="1383"/>
      <c r="E16" s="878">
        <v>0</v>
      </c>
      <c r="F16" s="878">
        <v>0</v>
      </c>
      <c r="G16" s="800">
        <f>'HSZ do złotówek'!I$58</f>
        <v>0</v>
      </c>
      <c r="H16" s="800">
        <f>'HSZ do złotówek'!J$58</f>
        <v>0</v>
      </c>
      <c r="I16" s="800">
        <f>'HSZ do złotówek'!K$58</f>
        <v>0</v>
      </c>
      <c r="J16" s="800">
        <f>'HSZ do złotówek'!L$58</f>
        <v>318739</v>
      </c>
      <c r="K16" s="800">
        <f>'HSZ do złotówek'!M$58</f>
        <v>0</v>
      </c>
      <c r="L16" s="800">
        <f>'HSZ do złotówek'!N$58</f>
        <v>409022</v>
      </c>
      <c r="M16" s="800">
        <f>'HSZ do złotówek'!O$58</f>
        <v>0</v>
      </c>
      <c r="N16" s="800">
        <f>'HSZ do złotówek'!P$58</f>
        <v>409022</v>
      </c>
      <c r="O16" s="800">
        <f>'HSZ do złotówek'!Q$58</f>
        <v>0</v>
      </c>
      <c r="P16" s="800">
        <f>'HSZ do złotówek'!R$58</f>
        <v>485665</v>
      </c>
      <c r="Q16" s="800">
        <f>'HSZ do złotówek'!S$58</f>
        <v>0</v>
      </c>
      <c r="R16" s="800">
        <f>'HSZ do złotówek'!T$58</f>
        <v>560920</v>
      </c>
      <c r="S16" s="800">
        <f>'HSZ do złotówek'!U$58</f>
        <v>0</v>
      </c>
      <c r="T16" s="800">
        <f>'HSZ do złotówek'!V$58</f>
        <v>633760</v>
      </c>
      <c r="U16" s="800">
        <f>'HSZ do złotówek'!W$58</f>
        <v>3000000</v>
      </c>
      <c r="V16" s="800">
        <f>'HSZ do złotówek'!X$58</f>
        <v>713853</v>
      </c>
      <c r="W16" s="800">
        <f>'HSZ do złotówek'!Y$58</f>
        <v>6000000</v>
      </c>
      <c r="X16" s="800">
        <f>'HSZ do złotówek'!Z$58</f>
        <v>1833592</v>
      </c>
      <c r="Y16" s="800">
        <f>'HSZ do złotówek'!AA$58</f>
        <v>6000000</v>
      </c>
      <c r="Z16" s="800">
        <f>'HSZ do złotówek'!AB$58</f>
        <v>1661112</v>
      </c>
      <c r="AA16" s="800">
        <f>'HSZ do złotówek'!AC$58</f>
        <v>6000000</v>
      </c>
      <c r="AB16" s="800">
        <f>'HSZ do złotówek'!AD$58</f>
        <v>288404</v>
      </c>
      <c r="AC16" s="800">
        <f>'HSZ do złotówek'!AE$58</f>
        <v>4342634</v>
      </c>
      <c r="AD16" s="800">
        <f>'HSZ do złotówek'!AF$58</f>
        <v>188471</v>
      </c>
    </row>
    <row r="17" spans="1:30" ht="13.5" thickBot="1">
      <c r="A17" s="791"/>
      <c r="B17" s="805"/>
      <c r="C17" s="1384" t="s">
        <v>152</v>
      </c>
      <c r="D17" s="1385"/>
      <c r="E17" s="806">
        <f t="shared" ref="E17:AD17" si="3">E12</f>
        <v>0</v>
      </c>
      <c r="F17" s="806">
        <f t="shared" si="3"/>
        <v>0</v>
      </c>
      <c r="G17" s="806">
        <f t="shared" si="3"/>
        <v>0</v>
      </c>
      <c r="H17" s="806">
        <f t="shared" si="3"/>
        <v>0</v>
      </c>
      <c r="I17" s="806">
        <f t="shared" si="3"/>
        <v>0</v>
      </c>
      <c r="J17" s="806">
        <f t="shared" si="3"/>
        <v>318739</v>
      </c>
      <c r="K17" s="806">
        <f t="shared" si="3"/>
        <v>0</v>
      </c>
      <c r="L17" s="806">
        <f t="shared" si="3"/>
        <v>409022</v>
      </c>
      <c r="M17" s="806">
        <f t="shared" si="3"/>
        <v>0</v>
      </c>
      <c r="N17" s="806">
        <f t="shared" si="3"/>
        <v>409022</v>
      </c>
      <c r="O17" s="806">
        <f t="shared" si="3"/>
        <v>0</v>
      </c>
      <c r="P17" s="806">
        <f t="shared" si="3"/>
        <v>485665</v>
      </c>
      <c r="Q17" s="806">
        <f t="shared" si="3"/>
        <v>0</v>
      </c>
      <c r="R17" s="806">
        <f t="shared" si="3"/>
        <v>560920</v>
      </c>
      <c r="S17" s="806">
        <f t="shared" si="3"/>
        <v>0</v>
      </c>
      <c r="T17" s="806">
        <f t="shared" si="3"/>
        <v>633760</v>
      </c>
      <c r="U17" s="806">
        <f t="shared" si="3"/>
        <v>3000000</v>
      </c>
      <c r="V17" s="806">
        <f t="shared" si="3"/>
        <v>713853</v>
      </c>
      <c r="W17" s="806">
        <f t="shared" si="3"/>
        <v>6000000</v>
      </c>
      <c r="X17" s="806">
        <f t="shared" si="3"/>
        <v>1833592</v>
      </c>
      <c r="Y17" s="806">
        <f t="shared" si="3"/>
        <v>6000000</v>
      </c>
      <c r="Z17" s="806">
        <f t="shared" si="3"/>
        <v>1661112</v>
      </c>
      <c r="AA17" s="806">
        <f t="shared" si="3"/>
        <v>6000000</v>
      </c>
      <c r="AB17" s="806">
        <f t="shared" si="3"/>
        <v>288404</v>
      </c>
      <c r="AC17" s="806">
        <f t="shared" si="3"/>
        <v>4342634</v>
      </c>
      <c r="AD17" s="806">
        <f t="shared" si="3"/>
        <v>188471</v>
      </c>
    </row>
    <row r="18" spans="1:30" ht="39" customHeight="1">
      <c r="A18" s="791"/>
      <c r="B18" s="803" t="s">
        <v>57</v>
      </c>
      <c r="C18" s="1386" t="s">
        <v>359</v>
      </c>
      <c r="D18" s="1387"/>
      <c r="E18" s="804">
        <f t="shared" ref="E18:AD18" si="4">SUM(E20:E22)</f>
        <v>0</v>
      </c>
      <c r="F18" s="804">
        <f t="shared" si="4"/>
        <v>0</v>
      </c>
      <c r="G18" s="804">
        <f t="shared" si="4"/>
        <v>0</v>
      </c>
      <c r="H18" s="804">
        <f t="shared" si="4"/>
        <v>358088</v>
      </c>
      <c r="I18" s="804">
        <f t="shared" si="4"/>
        <v>0</v>
      </c>
      <c r="J18" s="804">
        <f t="shared" si="4"/>
        <v>358088</v>
      </c>
      <c r="K18" s="804">
        <f t="shared" si="4"/>
        <v>0</v>
      </c>
      <c r="L18" s="804">
        <f t="shared" si="4"/>
        <v>358088</v>
      </c>
      <c r="M18" s="804">
        <f t="shared" si="4"/>
        <v>0</v>
      </c>
      <c r="N18" s="804">
        <f t="shared" si="4"/>
        <v>358088</v>
      </c>
      <c r="O18" s="804">
        <f t="shared" si="4"/>
        <v>0</v>
      </c>
      <c r="P18" s="804">
        <f t="shared" si="4"/>
        <v>358088</v>
      </c>
      <c r="Q18" s="804">
        <f t="shared" si="4"/>
        <v>2000000</v>
      </c>
      <c r="R18" s="804">
        <f t="shared" si="4"/>
        <v>358088</v>
      </c>
      <c r="S18" s="804">
        <f t="shared" si="4"/>
        <v>2000000</v>
      </c>
      <c r="T18" s="804">
        <f t="shared" si="4"/>
        <v>264288</v>
      </c>
      <c r="U18" s="804">
        <f t="shared" si="4"/>
        <v>3000000</v>
      </c>
      <c r="V18" s="804">
        <f t="shared" si="4"/>
        <v>153433</v>
      </c>
      <c r="W18" s="804">
        <f t="shared" si="4"/>
        <v>0</v>
      </c>
      <c r="X18" s="804">
        <f t="shared" si="4"/>
        <v>0</v>
      </c>
      <c r="Y18" s="804">
        <f t="shared" si="4"/>
        <v>0</v>
      </c>
      <c r="Z18" s="804">
        <f t="shared" si="4"/>
        <v>0</v>
      </c>
      <c r="AA18" s="804">
        <f t="shared" si="4"/>
        <v>0</v>
      </c>
      <c r="AB18" s="804">
        <f t="shared" si="4"/>
        <v>0</v>
      </c>
      <c r="AC18" s="804">
        <f t="shared" si="4"/>
        <v>0</v>
      </c>
      <c r="AD18" s="804">
        <f t="shared" si="4"/>
        <v>0</v>
      </c>
    </row>
    <row r="19" spans="1:30">
      <c r="A19" s="791"/>
      <c r="B19" s="795"/>
      <c r="C19" s="796" t="s">
        <v>358</v>
      </c>
      <c r="D19" s="796"/>
      <c r="E19" s="797"/>
      <c r="F19" s="797"/>
      <c r="G19" s="797"/>
      <c r="H19" s="797"/>
      <c r="I19" s="797"/>
      <c r="J19" s="798"/>
      <c r="K19" s="797"/>
      <c r="L19" s="797"/>
      <c r="M19" s="797"/>
      <c r="N19" s="797"/>
      <c r="O19" s="797"/>
      <c r="P19" s="797"/>
      <c r="Q19" s="797"/>
      <c r="R19" s="797"/>
      <c r="S19" s="797"/>
      <c r="T19" s="798"/>
      <c r="U19" s="797"/>
      <c r="V19" s="797"/>
      <c r="W19" s="797"/>
      <c r="X19" s="797"/>
      <c r="Y19" s="797"/>
      <c r="Z19" s="797"/>
      <c r="AA19" s="797"/>
      <c r="AB19" s="797"/>
      <c r="AC19" s="797"/>
      <c r="AD19" s="798"/>
    </row>
    <row r="20" spans="1:30">
      <c r="A20" s="791"/>
      <c r="B20" s="793">
        <v>1</v>
      </c>
      <c r="C20" s="1388" t="s">
        <v>354</v>
      </c>
      <c r="D20" s="1389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</row>
    <row r="21" spans="1:30">
      <c r="A21" s="791"/>
      <c r="B21" s="793">
        <v>2</v>
      </c>
      <c r="C21" s="1388" t="s">
        <v>355</v>
      </c>
      <c r="D21" s="1389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</row>
    <row r="22" spans="1:30" ht="25.5" customHeight="1" thickBot="1">
      <c r="A22" s="791"/>
      <c r="B22" s="799">
        <v>3</v>
      </c>
      <c r="C22" s="1382" t="s">
        <v>356</v>
      </c>
      <c r="D22" s="1383"/>
      <c r="E22" s="800">
        <f>'HSZ do złotówek'!G43</f>
        <v>0</v>
      </c>
      <c r="F22" s="800">
        <f>'HSZ do złotówek'!H43</f>
        <v>0</v>
      </c>
      <c r="G22" s="800">
        <f>'HSZ do złotówek'!I43</f>
        <v>0</v>
      </c>
      <c r="H22" s="800">
        <f>'HSZ do złotówek'!J43</f>
        <v>358088</v>
      </c>
      <c r="I22" s="800">
        <f>'HSZ do złotówek'!K43</f>
        <v>0</v>
      </c>
      <c r="J22" s="800">
        <f>'HSZ do złotówek'!L43</f>
        <v>358088</v>
      </c>
      <c r="K22" s="800">
        <f>'HSZ do złotówek'!M43</f>
        <v>0</v>
      </c>
      <c r="L22" s="800">
        <f>'HSZ do złotówek'!N43</f>
        <v>358088</v>
      </c>
      <c r="M22" s="800">
        <f>'HSZ do złotówek'!O43</f>
        <v>0</v>
      </c>
      <c r="N22" s="800">
        <f>'HSZ do złotówek'!P43</f>
        <v>358088</v>
      </c>
      <c r="O22" s="800">
        <f>'HSZ do złotówek'!Q43</f>
        <v>0</v>
      </c>
      <c r="P22" s="800">
        <f>'HSZ do złotówek'!R43</f>
        <v>358088</v>
      </c>
      <c r="Q22" s="800">
        <f>'HSZ do złotówek'!S43</f>
        <v>2000000</v>
      </c>
      <c r="R22" s="800">
        <f>'HSZ do złotówek'!T43</f>
        <v>358088</v>
      </c>
      <c r="S22" s="800">
        <f>'HSZ do złotówek'!U43</f>
        <v>2000000</v>
      </c>
      <c r="T22" s="800">
        <f>'HSZ do złotówek'!V43</f>
        <v>264288</v>
      </c>
      <c r="U22" s="800">
        <f>'HSZ do złotówek'!W43</f>
        <v>3000000</v>
      </c>
      <c r="V22" s="800">
        <f>'HSZ do złotówek'!X43</f>
        <v>153433</v>
      </c>
      <c r="W22" s="800">
        <f>'HSZ do złotówek'!Y43</f>
        <v>0</v>
      </c>
      <c r="X22" s="800">
        <f>'HSZ do złotówek'!Z43</f>
        <v>0</v>
      </c>
      <c r="Y22" s="800">
        <f>'HSZ do złotówek'!AA43</f>
        <v>0</v>
      </c>
      <c r="Z22" s="800">
        <f>'HSZ do złotówek'!AB43</f>
        <v>0</v>
      </c>
      <c r="AA22" s="800">
        <f>'HSZ do złotówek'!AC43</f>
        <v>0</v>
      </c>
      <c r="AB22" s="800">
        <f>'HSZ do złotówek'!AD43</f>
        <v>0</v>
      </c>
      <c r="AC22" s="800">
        <f>'HSZ do złotówek'!AE43</f>
        <v>0</v>
      </c>
      <c r="AD22" s="800">
        <f>'HSZ do złotówek'!AF43</f>
        <v>0</v>
      </c>
    </row>
    <row r="23" spans="1:30" ht="13.5" thickBot="1">
      <c r="A23" s="791"/>
      <c r="B23" s="807"/>
      <c r="C23" s="1375" t="s">
        <v>152</v>
      </c>
      <c r="D23" s="1376"/>
      <c r="E23" s="808">
        <f t="shared" ref="E23:AD23" si="5">E18</f>
        <v>0</v>
      </c>
      <c r="F23" s="808">
        <f t="shared" si="5"/>
        <v>0</v>
      </c>
      <c r="G23" s="808">
        <f t="shared" si="5"/>
        <v>0</v>
      </c>
      <c r="H23" s="808">
        <f t="shared" si="5"/>
        <v>358088</v>
      </c>
      <c r="I23" s="808">
        <f t="shared" si="5"/>
        <v>0</v>
      </c>
      <c r="J23" s="808">
        <f t="shared" si="5"/>
        <v>358088</v>
      </c>
      <c r="K23" s="808">
        <f t="shared" si="5"/>
        <v>0</v>
      </c>
      <c r="L23" s="808">
        <f t="shared" si="5"/>
        <v>358088</v>
      </c>
      <c r="M23" s="808">
        <f t="shared" si="5"/>
        <v>0</v>
      </c>
      <c r="N23" s="808">
        <f t="shared" si="5"/>
        <v>358088</v>
      </c>
      <c r="O23" s="808">
        <f t="shared" si="5"/>
        <v>0</v>
      </c>
      <c r="P23" s="808">
        <f t="shared" si="5"/>
        <v>358088</v>
      </c>
      <c r="Q23" s="808">
        <f t="shared" si="5"/>
        <v>2000000</v>
      </c>
      <c r="R23" s="808">
        <f t="shared" si="5"/>
        <v>358088</v>
      </c>
      <c r="S23" s="808">
        <f t="shared" si="5"/>
        <v>2000000</v>
      </c>
      <c r="T23" s="808">
        <f t="shared" si="5"/>
        <v>264288</v>
      </c>
      <c r="U23" s="808">
        <f t="shared" si="5"/>
        <v>3000000</v>
      </c>
      <c r="V23" s="808">
        <f t="shared" si="5"/>
        <v>153433</v>
      </c>
      <c r="W23" s="808">
        <f t="shared" si="5"/>
        <v>0</v>
      </c>
      <c r="X23" s="808">
        <f t="shared" si="5"/>
        <v>0</v>
      </c>
      <c r="Y23" s="808">
        <f t="shared" si="5"/>
        <v>0</v>
      </c>
      <c r="Z23" s="808">
        <f t="shared" si="5"/>
        <v>0</v>
      </c>
      <c r="AA23" s="808">
        <f t="shared" si="5"/>
        <v>0</v>
      </c>
      <c r="AB23" s="808">
        <f t="shared" si="5"/>
        <v>0</v>
      </c>
      <c r="AC23" s="808">
        <f t="shared" si="5"/>
        <v>0</v>
      </c>
      <c r="AD23" s="808">
        <f t="shared" si="5"/>
        <v>0</v>
      </c>
    </row>
    <row r="24" spans="1:30" ht="14.25" thickTop="1" thickBot="1">
      <c r="A24" s="791"/>
      <c r="B24" s="809"/>
      <c r="C24" s="1377" t="s">
        <v>360</v>
      </c>
      <c r="D24" s="1378"/>
      <c r="E24" s="810">
        <f>IF(SUM(E23+E17+E11)='HSZ do złotówek'!G$62,SUM(E23+E17+E11),"błąd")</f>
        <v>6998867</v>
      </c>
      <c r="F24" s="810">
        <f>IF(SUM(F23+F17+F11)='HSZ do złotówek'!H$62,SUM(F23+F17+F11),"błąd")</f>
        <v>2173467</v>
      </c>
      <c r="G24" s="810">
        <f>IF(SUM(G23+G17+G11)='HSZ do złotówek'!I$62,SUM(G23+G17+G11),"błąd")</f>
        <v>6160865</v>
      </c>
      <c r="H24" s="810">
        <f>IF(SUM(H23+H17+H11)='HSZ do złotówek'!J$62,SUM(H23+H17+H11),"błąd")</f>
        <v>2346837</v>
      </c>
      <c r="I24" s="810">
        <f>IF(SUM(I23+I17+I11)='HSZ do złotówek'!K$62,SUM(I23+I17+I11),"błąd")</f>
        <v>6329928</v>
      </c>
      <c r="J24" s="810">
        <f>IF(SUM(J23+J17+J11)='HSZ do złotówek'!L$62,SUM(J23+J17+J11),"błąd")</f>
        <v>2535407</v>
      </c>
      <c r="K24" s="810">
        <f>IF(SUM(K23+K17+K11)='HSZ do złotówek'!M$62,SUM(K23+K17+K11),"błąd")</f>
        <v>6912100</v>
      </c>
      <c r="L24" s="810">
        <f>IF(SUM(L23+L17+L11)='HSZ do złotówek'!N$62,SUM(L23+L17+L11),"błąd")</f>
        <v>2538317</v>
      </c>
      <c r="M24" s="810">
        <f>IF(SUM(M23+M17+M11)='HSZ do złotówek'!O$62,SUM(M23+M17+M11),"błąd")</f>
        <v>6818549</v>
      </c>
      <c r="N24" s="810">
        <f>IF(SUM(N23+N17+N11)='HSZ do złotówek'!P$62,SUM(N23+N17+N11),"błąd")</f>
        <v>2218131</v>
      </c>
      <c r="O24" s="810">
        <f>IF(SUM(O23+O17+O11)='HSZ do złotówek'!Q$62,SUM(O23+O17+O11),"błąd")</f>
        <v>6789237</v>
      </c>
      <c r="P24" s="810">
        <f>IF(SUM(P23+P17+P11)='HSZ do złotówek'!R$62,SUM(P23+P17+P11),"błąd")</f>
        <v>1983144</v>
      </c>
      <c r="Q24" s="810">
        <f>IF(SUM(Q23+Q17+Q11)='HSZ do złotówek'!S$62,SUM(Q23+Q17+Q11),"błąd")</f>
        <v>6738242</v>
      </c>
      <c r="R24" s="810">
        <f>IF(SUM(R23+R17+R11)='HSZ do złotówek'!T$62,SUM(R23+R17+R11),"błąd")</f>
        <v>1649857</v>
      </c>
      <c r="S24" s="810">
        <f>IF(SUM(S23+S17+S11)='HSZ do złotówek'!U$62,SUM(S23+S17+S11),"błąd")</f>
        <v>6641424</v>
      </c>
      <c r="T24" s="810">
        <f>IF(SUM(T23+T17+T11)='HSZ do złotówek'!V$62,SUM(T23+T17+T11),"błąd")</f>
        <v>1373905</v>
      </c>
      <c r="U24" s="810">
        <f>IF(SUM(U23+U17+U11)='HSZ do złotówek'!W$62,SUM(U23+U17+U11),"błąd")</f>
        <v>6621081</v>
      </c>
      <c r="V24" s="810">
        <f>IF(SUM(V23+V17+V11)='HSZ do złotówek'!X$62,SUM(V23+V17+V11),"błąd")</f>
        <v>1090330</v>
      </c>
      <c r="W24" s="810">
        <f>IF(SUM(W23+W17+W11)='HSZ do złotówek'!Y$62,SUM(W23+W17+W11),"błąd")</f>
        <v>6621081</v>
      </c>
      <c r="X24" s="810">
        <f>IF(SUM(X23+X17+X11)='HSZ do złotówek'!Z$62,SUM(X23+X17+X11),"błąd")</f>
        <v>2008531</v>
      </c>
      <c r="Y24" s="810">
        <f>IF(SUM(Y23+Y17+Y11)='HSZ do złotówek'!AA$62,SUM(Y23+Y17+Y11),"błąd")</f>
        <v>6621081</v>
      </c>
      <c r="Z24" s="810">
        <f>IF(SUM(Z23+Z17+Z11)='HSZ do złotówek'!AB$62,SUM(Z23+Z17+Z11),"błąd")</f>
        <v>1787946</v>
      </c>
      <c r="AA24" s="810">
        <f>IF(SUM(AA23+AA17+AA11)='HSZ do złotówek'!AC$62,SUM(AA23+AA17+AA11),"błąd")</f>
        <v>6621081</v>
      </c>
      <c r="AB24" s="810">
        <f>IF(SUM(AB23+AB17+AB11)='HSZ do złotówek'!AD$62,SUM(AB23+AB17+AB11),"błąd")</f>
        <v>367132</v>
      </c>
      <c r="AC24" s="810">
        <f>IF(SUM(AC23+AC17+AC11)='HSZ do złotówek'!AE$62,SUM(AC23+AC17+AC11),"błąd")</f>
        <v>4735183</v>
      </c>
      <c r="AD24" s="810">
        <f>IF(SUM(AD23+AD17+AD11)='HSZ do złotówek'!AF$62,SUM(AD23+AD17+AD11),"błąd")</f>
        <v>220568</v>
      </c>
    </row>
    <row r="25" spans="1:30" s="815" customFormat="1" ht="13.5" thickTop="1">
      <c r="A25" s="811"/>
      <c r="B25" s="812"/>
      <c r="C25" s="813"/>
      <c r="D25" s="813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814"/>
      <c r="AC25" s="814"/>
      <c r="AD25" s="814"/>
    </row>
    <row r="26" spans="1:30" s="819" customFormat="1" ht="25.5" customHeight="1">
      <c r="A26" s="816"/>
      <c r="B26" s="817"/>
      <c r="C26" s="1379" t="s">
        <v>361</v>
      </c>
      <c r="D26" s="1379"/>
      <c r="E26" s="818">
        <f>E8+E9+E14+E15+E20+E21</f>
        <v>698867</v>
      </c>
      <c r="F26" s="818">
        <f t="shared" ref="F26:AD26" si="6">F8+F9+F14+F15+F20+F21</f>
        <v>76571</v>
      </c>
      <c r="G26" s="818">
        <f t="shared" si="6"/>
        <v>660865</v>
      </c>
      <c r="H26" s="818">
        <f t="shared" si="6"/>
        <v>57577</v>
      </c>
      <c r="I26" s="818">
        <f t="shared" si="6"/>
        <v>829928</v>
      </c>
      <c r="J26" s="818">
        <f t="shared" si="6"/>
        <v>214589</v>
      </c>
      <c r="K26" s="818">
        <f t="shared" si="6"/>
        <v>1012100</v>
      </c>
      <c r="L26" s="818">
        <f t="shared" si="6"/>
        <v>440274</v>
      </c>
      <c r="M26" s="818">
        <f t="shared" si="6"/>
        <v>818549</v>
      </c>
      <c r="N26" s="818">
        <f t="shared" si="6"/>
        <v>427748</v>
      </c>
      <c r="O26" s="818">
        <f t="shared" si="6"/>
        <v>789237</v>
      </c>
      <c r="P26" s="818">
        <f t="shared" si="6"/>
        <v>374067</v>
      </c>
      <c r="Q26" s="818">
        <f t="shared" si="6"/>
        <v>738242</v>
      </c>
      <c r="R26" s="818">
        <f t="shared" si="6"/>
        <v>321539</v>
      </c>
      <c r="S26" s="818">
        <f t="shared" si="6"/>
        <v>641424</v>
      </c>
      <c r="T26" s="818">
        <f t="shared" si="6"/>
        <v>271202</v>
      </c>
      <c r="U26" s="818">
        <f t="shared" si="6"/>
        <v>621081</v>
      </c>
      <c r="V26" s="818">
        <f t="shared" si="6"/>
        <v>223044</v>
      </c>
      <c r="W26" s="818">
        <f t="shared" si="6"/>
        <v>621081</v>
      </c>
      <c r="X26" s="818">
        <f t="shared" si="6"/>
        <v>174939</v>
      </c>
      <c r="Y26" s="818">
        <f t="shared" si="6"/>
        <v>621081</v>
      </c>
      <c r="Z26" s="818">
        <f t="shared" si="6"/>
        <v>126834</v>
      </c>
      <c r="AA26" s="818">
        <f t="shared" si="6"/>
        <v>621081</v>
      </c>
      <c r="AB26" s="818">
        <f t="shared" si="6"/>
        <v>78728</v>
      </c>
      <c r="AC26" s="818">
        <f t="shared" si="6"/>
        <v>392549</v>
      </c>
      <c r="AD26" s="818">
        <f t="shared" si="6"/>
        <v>32097</v>
      </c>
    </row>
    <row r="27" spans="1:30" s="815" customFormat="1" ht="6.75" customHeight="1">
      <c r="A27" s="811"/>
      <c r="B27" s="812"/>
      <c r="C27" s="813"/>
      <c r="D27" s="813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</row>
    <row r="28" spans="1:30" s="819" customFormat="1" ht="25.5" customHeight="1">
      <c r="A28" s="816"/>
      <c r="B28" s="820"/>
      <c r="C28" s="821" t="s">
        <v>362</v>
      </c>
      <c r="D28" s="821"/>
      <c r="E28" s="822">
        <f>E10+E16+E22</f>
        <v>6300000</v>
      </c>
      <c r="F28" s="822">
        <f t="shared" ref="F28:AD28" si="7">F10+F16+F22</f>
        <v>2096896</v>
      </c>
      <c r="G28" s="822">
        <f t="shared" si="7"/>
        <v>5500000</v>
      </c>
      <c r="H28" s="822">
        <f t="shared" si="7"/>
        <v>2289260</v>
      </c>
      <c r="I28" s="822">
        <f t="shared" si="7"/>
        <v>5500000</v>
      </c>
      <c r="J28" s="822">
        <f t="shared" si="7"/>
        <v>2320818</v>
      </c>
      <c r="K28" s="822">
        <f t="shared" si="7"/>
        <v>5900000</v>
      </c>
      <c r="L28" s="822">
        <f t="shared" si="7"/>
        <v>2098043</v>
      </c>
      <c r="M28" s="822">
        <f t="shared" si="7"/>
        <v>6000000</v>
      </c>
      <c r="N28" s="822">
        <f t="shared" si="7"/>
        <v>1790383</v>
      </c>
      <c r="O28" s="822">
        <f t="shared" si="7"/>
        <v>6000000</v>
      </c>
      <c r="P28" s="822">
        <f t="shared" si="7"/>
        <v>1609077</v>
      </c>
      <c r="Q28" s="822">
        <f t="shared" si="7"/>
        <v>6000000</v>
      </c>
      <c r="R28" s="822">
        <f t="shared" si="7"/>
        <v>1328318</v>
      </c>
      <c r="S28" s="822">
        <f t="shared" si="7"/>
        <v>6000000</v>
      </c>
      <c r="T28" s="822">
        <f t="shared" si="7"/>
        <v>1102703</v>
      </c>
      <c r="U28" s="822">
        <f t="shared" si="7"/>
        <v>6000000</v>
      </c>
      <c r="V28" s="822">
        <f t="shared" si="7"/>
        <v>867286</v>
      </c>
      <c r="W28" s="822">
        <f t="shared" si="7"/>
        <v>6000000</v>
      </c>
      <c r="X28" s="822">
        <f t="shared" si="7"/>
        <v>1833592</v>
      </c>
      <c r="Y28" s="822">
        <f t="shared" si="7"/>
        <v>6000000</v>
      </c>
      <c r="Z28" s="822">
        <f t="shared" si="7"/>
        <v>1661112</v>
      </c>
      <c r="AA28" s="822">
        <f t="shared" si="7"/>
        <v>6000000</v>
      </c>
      <c r="AB28" s="822">
        <f t="shared" si="7"/>
        <v>288404</v>
      </c>
      <c r="AC28" s="822">
        <f t="shared" si="7"/>
        <v>4342634</v>
      </c>
      <c r="AD28" s="822">
        <f t="shared" si="7"/>
        <v>188471</v>
      </c>
    </row>
    <row r="32" spans="1:30">
      <c r="C32" s="823"/>
      <c r="D32" s="823"/>
      <c r="I32" s="1380">
        <f ca="1">TODAY()</f>
        <v>41002</v>
      </c>
      <c r="J32" s="1381"/>
      <c r="O32" s="824"/>
      <c r="P32" s="824"/>
      <c r="Y32" s="824"/>
      <c r="Z32" s="824"/>
    </row>
    <row r="33" spans="3:26">
      <c r="C33" s="1373" t="s">
        <v>363</v>
      </c>
      <c r="D33" s="1373"/>
      <c r="I33" s="1373" t="s">
        <v>364</v>
      </c>
      <c r="J33" s="1373"/>
      <c r="O33" s="1373" t="s">
        <v>365</v>
      </c>
      <c r="P33" s="1373"/>
      <c r="Y33" s="1373"/>
      <c r="Z33" s="1373"/>
    </row>
  </sheetData>
  <sheetProtection sheet="1" formatCells="0" formatColumns="0" formatRows="0" insertColumns="0" insertRows="0" insertHyperlinks="0" deleteColumns="0" deleteRows="0" sort="0" autoFilter="0" pivotTables="0"/>
  <mergeCells count="38">
    <mergeCell ref="B4:B5"/>
    <mergeCell ref="C4:D5"/>
    <mergeCell ref="E4:F4"/>
    <mergeCell ref="G4:H4"/>
    <mergeCell ref="I4:J4"/>
    <mergeCell ref="C8:D8"/>
    <mergeCell ref="K4:L4"/>
    <mergeCell ref="M4:N4"/>
    <mergeCell ref="O4:P4"/>
    <mergeCell ref="Q4:R4"/>
    <mergeCell ref="W4:X4"/>
    <mergeCell ref="Y4:Z4"/>
    <mergeCell ref="AA4:AB4"/>
    <mergeCell ref="AC4:AD4"/>
    <mergeCell ref="C6:D6"/>
    <mergeCell ref="S4:T4"/>
    <mergeCell ref="U4:V4"/>
    <mergeCell ref="C10:D10"/>
    <mergeCell ref="C11:D11"/>
    <mergeCell ref="C12:D12"/>
    <mergeCell ref="C14:D14"/>
    <mergeCell ref="C15:D15"/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BY118"/>
  <sheetViews>
    <sheetView zoomScaleNormal="100" zoomScaleSheetLayoutView="100" workbookViewId="0">
      <pane xSplit="2" ySplit="4" topLeftCell="AH29" activePane="bottomRight" state="frozen"/>
      <selection activeCell="AV47" sqref="AV47"/>
      <selection pane="topRight" activeCell="AV47" sqref="AV47"/>
      <selection pane="bottomLeft" activeCell="AV47" sqref="AV47"/>
      <selection pane="bottomRight" activeCell="AM57" sqref="AM57"/>
    </sheetView>
  </sheetViews>
  <sheetFormatPr defaultColWidth="0" defaultRowHeight="12.75" customHeight="1" zeroHeight="1"/>
  <cols>
    <col min="1" max="1" width="22.7109375" customWidth="1"/>
    <col min="2" max="34" width="14.7109375" customWidth="1"/>
    <col min="35" max="36" width="9.140625" customWidth="1"/>
    <col min="37" max="37" width="24.7109375" customWidth="1"/>
    <col min="38" max="77" width="14.7109375" customWidth="1"/>
    <col min="78" max="78" width="9.140625" customWidth="1"/>
  </cols>
  <sheetData>
    <row r="1" spans="1:77"/>
    <row r="2" spans="1:77" ht="18" customHeight="1" thickBot="1">
      <c r="A2" s="1400" t="s">
        <v>290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  <c r="T2" s="1400"/>
      <c r="U2" s="1400"/>
      <c r="V2" s="1400"/>
      <c r="W2" s="1400"/>
      <c r="X2" s="1400"/>
      <c r="Y2" s="1400"/>
      <c r="Z2" s="1400"/>
      <c r="AA2" s="1400"/>
      <c r="AB2" s="1400"/>
      <c r="AC2" s="1400"/>
      <c r="AD2" s="1400"/>
      <c r="AE2" s="1400"/>
      <c r="AF2" s="1400"/>
      <c r="AG2" s="1400"/>
      <c r="AH2" s="1400"/>
    </row>
    <row r="3" spans="1:77" ht="13.5" customHeight="1">
      <c r="A3" s="1401"/>
      <c r="B3" s="1403" t="s">
        <v>291</v>
      </c>
      <c r="C3" s="1405" t="s">
        <v>292</v>
      </c>
      <c r="D3" s="1406"/>
      <c r="E3" s="1407" t="s">
        <v>293</v>
      </c>
      <c r="F3" s="1408"/>
      <c r="G3" s="1411" t="s">
        <v>294</v>
      </c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2"/>
      <c r="AE3" s="1412"/>
      <c r="AF3" s="1412"/>
      <c r="AG3" s="1412"/>
      <c r="AH3" s="1413"/>
      <c r="AK3" s="1424"/>
      <c r="AL3" s="1426" t="s">
        <v>291</v>
      </c>
      <c r="AM3" s="1428" t="s">
        <v>295</v>
      </c>
      <c r="AN3" s="1429"/>
      <c r="AO3" s="1429"/>
      <c r="AP3" s="1429"/>
      <c r="AQ3" s="1429"/>
      <c r="AR3" s="1429"/>
      <c r="AS3" s="1429"/>
      <c r="AT3" s="1429"/>
      <c r="AU3" s="1429"/>
      <c r="AV3" s="1429"/>
      <c r="AW3" s="1429"/>
      <c r="AX3" s="1429"/>
      <c r="AY3" s="1429"/>
      <c r="AZ3" s="1429"/>
      <c r="BA3" s="1429"/>
      <c r="BB3" s="1429"/>
      <c r="BC3" s="1429"/>
      <c r="BD3" s="1429"/>
      <c r="BE3" s="1429"/>
      <c r="BF3" s="1429"/>
      <c r="BG3" s="1429"/>
      <c r="BH3" s="1429"/>
      <c r="BI3" s="1429"/>
      <c r="BJ3" s="1429"/>
      <c r="BK3" s="1429"/>
      <c r="BL3" s="1429"/>
      <c r="BM3" s="1429"/>
      <c r="BN3" s="1429"/>
      <c r="BO3" s="1429"/>
      <c r="BP3" s="1429"/>
      <c r="BQ3" s="1429"/>
      <c r="BR3" s="1429"/>
      <c r="BS3" s="1429"/>
      <c r="BT3" s="1429"/>
      <c r="BU3" s="1429"/>
      <c r="BV3" s="1429"/>
      <c r="BW3" s="1429"/>
      <c r="BX3" s="1429"/>
      <c r="BY3" s="1430"/>
    </row>
    <row r="4" spans="1:77" ht="27" customHeight="1" thickBot="1">
      <c r="A4" s="1402"/>
      <c r="B4" s="1404"/>
      <c r="C4" s="1414">
        <v>2011</v>
      </c>
      <c r="D4" s="1414"/>
      <c r="E4" s="1409"/>
      <c r="F4" s="1410"/>
      <c r="G4" s="1422">
        <v>2012</v>
      </c>
      <c r="H4" s="1414"/>
      <c r="I4" s="1414">
        <f>G4+1</f>
        <v>2013</v>
      </c>
      <c r="J4" s="1414"/>
      <c r="K4" s="1414">
        <f>I4+1</f>
        <v>2014</v>
      </c>
      <c r="L4" s="1414"/>
      <c r="M4" s="1414">
        <f>K4+1</f>
        <v>2015</v>
      </c>
      <c r="N4" s="1414"/>
      <c r="O4" s="1414">
        <f>M4+1</f>
        <v>2016</v>
      </c>
      <c r="P4" s="1414"/>
      <c r="Q4" s="1414">
        <f>O4+1</f>
        <v>2017</v>
      </c>
      <c r="R4" s="1414"/>
      <c r="S4" s="1414">
        <f>Q4+1</f>
        <v>2018</v>
      </c>
      <c r="T4" s="1414"/>
      <c r="U4" s="1414">
        <f>S4+1</f>
        <v>2019</v>
      </c>
      <c r="V4" s="1414"/>
      <c r="W4" s="1414">
        <f>U4+1</f>
        <v>2020</v>
      </c>
      <c r="X4" s="1414"/>
      <c r="Y4" s="1414">
        <f>W4+1</f>
        <v>2021</v>
      </c>
      <c r="Z4" s="1414"/>
      <c r="AA4" s="1414">
        <f>Y4+1</f>
        <v>2022</v>
      </c>
      <c r="AB4" s="1414"/>
      <c r="AC4" s="1414">
        <f>AA4+1</f>
        <v>2023</v>
      </c>
      <c r="AD4" s="1414"/>
      <c r="AE4" s="1414">
        <f>AC4+1</f>
        <v>2024</v>
      </c>
      <c r="AF4" s="1414"/>
      <c r="AG4" s="1414">
        <f>AE4+1</f>
        <v>2025</v>
      </c>
      <c r="AH4" s="1423"/>
      <c r="AK4" s="1425"/>
      <c r="AL4" s="1427"/>
      <c r="AM4" s="1416">
        <v>2012</v>
      </c>
      <c r="AN4" s="1417"/>
      <c r="AO4" s="1418"/>
      <c r="AP4" s="1416">
        <f>AM4+1</f>
        <v>2013</v>
      </c>
      <c r="AQ4" s="1417"/>
      <c r="AR4" s="1418"/>
      <c r="AS4" s="1416">
        <f>AP4+1</f>
        <v>2014</v>
      </c>
      <c r="AT4" s="1417"/>
      <c r="AU4" s="1418"/>
      <c r="AV4" s="1416">
        <f>AS4+1</f>
        <v>2015</v>
      </c>
      <c r="AW4" s="1417"/>
      <c r="AX4" s="1418"/>
      <c r="AY4" s="1416">
        <f>AV4+1</f>
        <v>2016</v>
      </c>
      <c r="AZ4" s="1417"/>
      <c r="BA4" s="1418"/>
      <c r="BB4" s="1416">
        <f>AY4+1</f>
        <v>2017</v>
      </c>
      <c r="BC4" s="1417"/>
      <c r="BD4" s="1418"/>
      <c r="BE4" s="1416">
        <f>BB4+1</f>
        <v>2018</v>
      </c>
      <c r="BF4" s="1417"/>
      <c r="BG4" s="1418"/>
      <c r="BH4" s="1416">
        <f>BE4+1</f>
        <v>2019</v>
      </c>
      <c r="BI4" s="1417"/>
      <c r="BJ4" s="1418"/>
      <c r="BK4" s="1416">
        <f>BH4+1</f>
        <v>2020</v>
      </c>
      <c r="BL4" s="1417"/>
      <c r="BM4" s="1418"/>
      <c r="BN4" s="1416">
        <f>BK4+1</f>
        <v>2021</v>
      </c>
      <c r="BO4" s="1417"/>
      <c r="BP4" s="1418"/>
      <c r="BQ4" s="1416">
        <f>BN4+1</f>
        <v>2022</v>
      </c>
      <c r="BR4" s="1417"/>
      <c r="BS4" s="1418"/>
      <c r="BT4" s="1416">
        <f>BQ4+1</f>
        <v>2023</v>
      </c>
      <c r="BU4" s="1417"/>
      <c r="BV4" s="1418"/>
      <c r="BW4" s="1416">
        <f>BT4+1</f>
        <v>2024</v>
      </c>
      <c r="BX4" s="1417"/>
      <c r="BY4" s="1418"/>
    </row>
    <row r="5" spans="1:77">
      <c r="A5" s="460" t="s">
        <v>296</v>
      </c>
      <c r="B5" s="461" t="s">
        <v>297</v>
      </c>
      <c r="C5" s="461" t="s">
        <v>298</v>
      </c>
      <c r="D5" s="461" t="s">
        <v>299</v>
      </c>
      <c r="E5" s="461" t="s">
        <v>298</v>
      </c>
      <c r="F5" s="461" t="s">
        <v>299</v>
      </c>
      <c r="G5" s="461" t="s">
        <v>298</v>
      </c>
      <c r="H5" s="461" t="s">
        <v>299</v>
      </c>
      <c r="I5" s="461" t="s">
        <v>298</v>
      </c>
      <c r="J5" s="461" t="s">
        <v>299</v>
      </c>
      <c r="K5" s="461" t="s">
        <v>298</v>
      </c>
      <c r="L5" s="461" t="s">
        <v>299</v>
      </c>
      <c r="M5" s="461" t="s">
        <v>298</v>
      </c>
      <c r="N5" s="461" t="s">
        <v>299</v>
      </c>
      <c r="O5" s="461" t="s">
        <v>298</v>
      </c>
      <c r="P5" s="462" t="s">
        <v>299</v>
      </c>
      <c r="Q5" s="461" t="s">
        <v>298</v>
      </c>
      <c r="R5" s="461" t="s">
        <v>299</v>
      </c>
      <c r="S5" s="461" t="s">
        <v>298</v>
      </c>
      <c r="T5" s="461" t="s">
        <v>299</v>
      </c>
      <c r="U5" s="462" t="s">
        <v>298</v>
      </c>
      <c r="V5" s="462" t="s">
        <v>299</v>
      </c>
      <c r="W5" s="461" t="s">
        <v>298</v>
      </c>
      <c r="X5" s="461" t="s">
        <v>299</v>
      </c>
      <c r="Y5" s="461" t="s">
        <v>298</v>
      </c>
      <c r="Z5" s="461" t="s">
        <v>299</v>
      </c>
      <c r="AA5" s="461" t="s">
        <v>298</v>
      </c>
      <c r="AB5" s="462" t="s">
        <v>299</v>
      </c>
      <c r="AC5" s="461" t="s">
        <v>298</v>
      </c>
      <c r="AD5" s="461" t="s">
        <v>299</v>
      </c>
      <c r="AE5" s="463" t="s">
        <v>298</v>
      </c>
      <c r="AF5" s="462" t="s">
        <v>299</v>
      </c>
      <c r="AG5" s="461" t="s">
        <v>298</v>
      </c>
      <c r="AH5" s="464" t="s">
        <v>299</v>
      </c>
      <c r="AK5" s="460" t="s">
        <v>296</v>
      </c>
      <c r="AL5" s="465" t="s">
        <v>297</v>
      </c>
      <c r="AM5" s="466" t="s">
        <v>298</v>
      </c>
      <c r="AN5" s="461" t="s">
        <v>299</v>
      </c>
      <c r="AO5" s="467" t="s">
        <v>300</v>
      </c>
      <c r="AP5" s="466" t="s">
        <v>298</v>
      </c>
      <c r="AQ5" s="461" t="s">
        <v>299</v>
      </c>
      <c r="AR5" s="467" t="s">
        <v>300</v>
      </c>
      <c r="AS5" s="466" t="s">
        <v>298</v>
      </c>
      <c r="AT5" s="461" t="s">
        <v>299</v>
      </c>
      <c r="AU5" s="467" t="s">
        <v>300</v>
      </c>
      <c r="AV5" s="466" t="s">
        <v>298</v>
      </c>
      <c r="AW5" s="461" t="s">
        <v>299</v>
      </c>
      <c r="AX5" s="467" t="s">
        <v>300</v>
      </c>
      <c r="AY5" s="466" t="s">
        <v>298</v>
      </c>
      <c r="AZ5" s="461" t="s">
        <v>299</v>
      </c>
      <c r="BA5" s="467" t="s">
        <v>300</v>
      </c>
      <c r="BB5" s="466" t="s">
        <v>298</v>
      </c>
      <c r="BC5" s="461" t="s">
        <v>299</v>
      </c>
      <c r="BD5" s="467" t="s">
        <v>300</v>
      </c>
      <c r="BE5" s="466" t="s">
        <v>298</v>
      </c>
      <c r="BF5" s="461" t="s">
        <v>299</v>
      </c>
      <c r="BG5" s="467" t="s">
        <v>300</v>
      </c>
      <c r="BH5" s="466" t="s">
        <v>298</v>
      </c>
      <c r="BI5" s="461" t="s">
        <v>299</v>
      </c>
      <c r="BJ5" s="467" t="s">
        <v>300</v>
      </c>
      <c r="BK5" s="466" t="s">
        <v>298</v>
      </c>
      <c r="BL5" s="461" t="s">
        <v>299</v>
      </c>
      <c r="BM5" s="467" t="s">
        <v>300</v>
      </c>
      <c r="BN5" s="466" t="s">
        <v>298</v>
      </c>
      <c r="BO5" s="461" t="s">
        <v>299</v>
      </c>
      <c r="BP5" s="467" t="s">
        <v>300</v>
      </c>
      <c r="BQ5" s="466" t="s">
        <v>298</v>
      </c>
      <c r="BR5" s="461" t="s">
        <v>299</v>
      </c>
      <c r="BS5" s="467" t="s">
        <v>300</v>
      </c>
      <c r="BT5" s="466" t="s">
        <v>298</v>
      </c>
      <c r="BU5" s="461" t="s">
        <v>299</v>
      </c>
      <c r="BV5" s="467" t="s">
        <v>300</v>
      </c>
      <c r="BW5" s="466" t="s">
        <v>298</v>
      </c>
      <c r="BX5" s="461" t="s">
        <v>299</v>
      </c>
      <c r="BY5" s="467" t="s">
        <v>300</v>
      </c>
    </row>
    <row r="6" spans="1:77">
      <c r="A6" s="468"/>
      <c r="B6" s="469"/>
      <c r="C6" s="469"/>
      <c r="D6" s="469"/>
      <c r="E6" s="470">
        <f>G6+I6+K6+M6+O6+Q6+S6+U6+W6+Y6+AA6+AC6+AE6+AG6</f>
        <v>0</v>
      </c>
      <c r="F6" s="470">
        <f>H6+J6+L6+N6+P6+R6</f>
        <v>0</v>
      </c>
      <c r="G6" s="469"/>
      <c r="H6" s="469"/>
      <c r="I6" s="469"/>
      <c r="J6" s="469"/>
      <c r="K6" s="469"/>
      <c r="L6" s="471"/>
      <c r="M6" s="469"/>
      <c r="N6" s="469"/>
      <c r="O6" s="469"/>
      <c r="P6" s="469"/>
      <c r="Q6" s="471"/>
      <c r="R6" s="471"/>
      <c r="S6" s="469"/>
      <c r="T6" s="469"/>
      <c r="U6" s="469"/>
      <c r="V6" s="469"/>
      <c r="W6" s="469"/>
      <c r="X6" s="471"/>
      <c r="Y6" s="469"/>
      <c r="Z6" s="469"/>
      <c r="AA6" s="472"/>
      <c r="AB6" s="471"/>
      <c r="AC6" s="469"/>
      <c r="AD6" s="473"/>
      <c r="AE6" s="469"/>
      <c r="AF6" s="473"/>
      <c r="AG6" s="469"/>
      <c r="AH6" s="473"/>
      <c r="AK6" s="468">
        <f t="shared" ref="AK6:AL10" si="0">A6</f>
        <v>0</v>
      </c>
      <c r="AL6" s="469">
        <f t="shared" si="0"/>
        <v>0</v>
      </c>
      <c r="AM6" s="474">
        <f>SUM($I6,$K6,$M6,$O6,$Q6,$S6,$U6,$W6,$Y6,$AA6,$AC6,$AE6,$AG6)</f>
        <v>0</v>
      </c>
      <c r="AN6" s="469">
        <f>SUM($J6,$L6,$N6,$P6,$R6,$T6,$V6,$X6,$Z6,$AB6,$AD6,$AF6,$AH6)</f>
        <v>0</v>
      </c>
      <c r="AO6" s="475">
        <f>SUM(AM6,AN6)</f>
        <v>0</v>
      </c>
      <c r="AP6" s="474">
        <f>SUM($K6,$M6,$O6,$Q6,$S6,$U6,$W6,$Y6,$AA6,$AC6,$AE6,$AG6)</f>
        <v>0</v>
      </c>
      <c r="AQ6" s="469">
        <f>SUM($L6,$N6,$P6,$R6,$T6,$V6,$X6,$Z6,$AB6,$AD6,$AF6,$AH6)</f>
        <v>0</v>
      </c>
      <c r="AR6" s="475">
        <f>SUM(AP6,AQ6)</f>
        <v>0</v>
      </c>
      <c r="AS6" s="474">
        <f>SUM($M6,$O6,$Q6,$S6,$U6,$W6,$Y6,$AA6,$AC6,$AE6,$AG6)</f>
        <v>0</v>
      </c>
      <c r="AT6" s="469">
        <f>SUM($N6,$P6,$R6,$T6,$V6,$X6,$Z6,$AB6,$AD6,$AF6,$AH6)</f>
        <v>0</v>
      </c>
      <c r="AU6" s="475">
        <f>SUM(AS6,AT6)</f>
        <v>0</v>
      </c>
      <c r="AV6" s="474">
        <f>SUM($O6,$Q6,$S6,$U6,$W6,$Y6,$AA6,$AC6,$AE6,$AG6)</f>
        <v>0</v>
      </c>
      <c r="AW6" s="469">
        <f>SUM($P6,$R6,$T6,$V6,$X6,$Z6,$AB6,$AD6,$AF6,$AH6)</f>
        <v>0</v>
      </c>
      <c r="AX6" s="475">
        <f>SUM(AV6,AW6)</f>
        <v>0</v>
      </c>
      <c r="AY6" s="474">
        <f>SUM($Q6,$S6,$U6,$W6,$Y6,$AA6,$AC6,$AE6,$AG6)</f>
        <v>0</v>
      </c>
      <c r="AZ6" s="469">
        <f>SUM($R6,$T6,$V6,$X6,$Z6,$AB6,$AD6,$AF6,$AH6)</f>
        <v>0</v>
      </c>
      <c r="BA6" s="475">
        <f>SUM(AY6,AZ6)</f>
        <v>0</v>
      </c>
      <c r="BB6" s="474">
        <f>SUM($S6,$U6,$W6,$Y6,$AA6,$AC6,$AE6,$AG6)</f>
        <v>0</v>
      </c>
      <c r="BC6" s="469">
        <f>SUM($T6,$V6,$X6,$Z6,$AB6,$AD6,$AF6,$AH6)</f>
        <v>0</v>
      </c>
      <c r="BD6" s="475">
        <f>SUM(BB6,BC6)</f>
        <v>0</v>
      </c>
      <c r="BE6" s="474">
        <f>SUM($U6,$W6,$Y6,$AA6,$AC6,$AE6,$AG6)</f>
        <v>0</v>
      </c>
      <c r="BF6" s="469">
        <f>SUM($V6,$X6,$Z6,$AB6,$AD6,$AF6,$AH6)</f>
        <v>0</v>
      </c>
      <c r="BG6" s="475">
        <f>SUM(BE6,BF6)</f>
        <v>0</v>
      </c>
      <c r="BH6" s="474">
        <f>SUM($W6,$Y6,$AA6,$AC6,$AE6,$AG6)</f>
        <v>0</v>
      </c>
      <c r="BI6" s="469">
        <f>SUM($X6,$Z6,$AB6,$AD6,$AF6,$AH6)</f>
        <v>0</v>
      </c>
      <c r="BJ6" s="475">
        <f>SUM(BH6,BI6)</f>
        <v>0</v>
      </c>
      <c r="BK6" s="474">
        <f>SUM($Y6,$AA6,$AC6,$AE6,$AG6)</f>
        <v>0</v>
      </c>
      <c r="BL6" s="469">
        <f>SUM($Z6,$AB6,$AD6,$AF6,$AH6)</f>
        <v>0</v>
      </c>
      <c r="BM6" s="475">
        <f>SUM(BK6,BL6)</f>
        <v>0</v>
      </c>
      <c r="BN6" s="474">
        <f>SUM($AA6,$AC6,$AE6,$AG6)</f>
        <v>0</v>
      </c>
      <c r="BO6" s="469">
        <f>SUM($AB6,$AD6,$AF6,$AH6)</f>
        <v>0</v>
      </c>
      <c r="BP6" s="475">
        <f>SUM(BN6,BO6)</f>
        <v>0</v>
      </c>
      <c r="BQ6" s="474">
        <f>SUM($AC6,$AE6,$AG6)</f>
        <v>0</v>
      </c>
      <c r="BR6" s="469">
        <f>SUM($AD6,$AF6,$AH6)</f>
        <v>0</v>
      </c>
      <c r="BS6" s="475">
        <f>SUM(BQ6,BR6)</f>
        <v>0</v>
      </c>
      <c r="BT6" s="474">
        <f>SUM($AE6,$AG6)</f>
        <v>0</v>
      </c>
      <c r="BU6" s="469">
        <f>SUM($AF6,$AH6)</f>
        <v>0</v>
      </c>
      <c r="BV6" s="475">
        <f>SUM(BT6,BU6)</f>
        <v>0</v>
      </c>
      <c r="BW6" s="474">
        <f>SUM($AG6)</f>
        <v>0</v>
      </c>
      <c r="BX6" s="469">
        <f>SUM($AH6)</f>
        <v>0</v>
      </c>
      <c r="BY6" s="475">
        <f>SUM(BW6,BX6)</f>
        <v>0</v>
      </c>
    </row>
    <row r="7" spans="1:77">
      <c r="A7" s="468"/>
      <c r="B7" s="469"/>
      <c r="C7" s="469"/>
      <c r="D7" s="469"/>
      <c r="E7" s="470">
        <f>G7+I7+K7+M7+O7+Q7+S7+U7+W7+Y7+AA7+AC7+AE7+AG7</f>
        <v>0</v>
      </c>
      <c r="F7" s="470">
        <f>H7+J7+L7+N7+P7+R7</f>
        <v>0</v>
      </c>
      <c r="G7" s="469"/>
      <c r="H7" s="469"/>
      <c r="I7" s="469"/>
      <c r="J7" s="469"/>
      <c r="K7" s="469"/>
      <c r="L7" s="471"/>
      <c r="M7" s="469"/>
      <c r="N7" s="469"/>
      <c r="O7" s="469"/>
      <c r="P7" s="469"/>
      <c r="Q7" s="471"/>
      <c r="R7" s="471"/>
      <c r="S7" s="469"/>
      <c r="T7" s="469"/>
      <c r="U7" s="469"/>
      <c r="V7" s="469"/>
      <c r="W7" s="469"/>
      <c r="X7" s="471"/>
      <c r="Y7" s="469"/>
      <c r="Z7" s="469"/>
      <c r="AA7" s="472"/>
      <c r="AB7" s="471"/>
      <c r="AC7" s="469"/>
      <c r="AD7" s="473"/>
      <c r="AE7" s="469"/>
      <c r="AF7" s="473"/>
      <c r="AG7" s="469"/>
      <c r="AH7" s="473"/>
      <c r="AK7" s="468">
        <f t="shared" si="0"/>
        <v>0</v>
      </c>
      <c r="AL7" s="469">
        <f t="shared" si="0"/>
        <v>0</v>
      </c>
      <c r="AM7" s="474">
        <f>SUM($I7,$K7,$M7,$O7,$Q7,$S7,$U7,$W7,$Y7,$AA7,$AC7,$AE7,$AG7)</f>
        <v>0</v>
      </c>
      <c r="AN7" s="469">
        <f>SUM($J7,$L7,$N7,$P7,$R7,$T7,$V7,$X7,$Z7,$AB7,$AD7,$AF7,$AH7)</f>
        <v>0</v>
      </c>
      <c r="AO7" s="475">
        <f>SUM(AM7,AN7)</f>
        <v>0</v>
      </c>
      <c r="AP7" s="474">
        <f>SUM($K7,$M7,$O7,$Q7,$S7,$U7,$W7,$Y7,$AA7,$AC7,$AE7,$AG7)</f>
        <v>0</v>
      </c>
      <c r="AQ7" s="474">
        <f>SUM($L7,$N7,$P7,$R7,$T7,$V7,$X7,$Z7,$AB7,$AD7,$AF7,$AH7)</f>
        <v>0</v>
      </c>
      <c r="AR7" s="475">
        <f>SUM(AP7,AQ7)</f>
        <v>0</v>
      </c>
      <c r="AS7" s="474">
        <f>SUM($M7,$O7,$Q7,$S7,$U7,$W7,$Y7,$AA7,$AC7,$AE7,$AG7)</f>
        <v>0</v>
      </c>
      <c r="AT7" s="469">
        <f>SUM($N7,$P7,$R7,$T7,$V7,$X7,$Z7,$AB7,$AD7,$AF7,$AH7)</f>
        <v>0</v>
      </c>
      <c r="AU7" s="475">
        <f>SUM(AS7,AT7)</f>
        <v>0</v>
      </c>
      <c r="AV7" s="474">
        <f>SUM($O7,$Q7,$S7,$U7,$W7,$Y7,$AA7,$AC7,$AE7,$AG7)</f>
        <v>0</v>
      </c>
      <c r="AW7" s="474">
        <f>SUM($P7,$R7,$T7,$V7,$X7,$Z7,$AB7,$AD7,$AF7,$AH7)</f>
        <v>0</v>
      </c>
      <c r="AX7" s="475">
        <f>SUM(AV7,AW7)</f>
        <v>0</v>
      </c>
      <c r="AY7" s="474">
        <f>SUM($Q7,$S7,$U7,$W7,$Y7,$AA7,$AC7,$AE7,$AG7)</f>
        <v>0</v>
      </c>
      <c r="AZ7" s="469">
        <f>SUM($R7,$T7,$V7,$X7,$Z7,$AB7,$AD7,$AF7,$AH7)</f>
        <v>0</v>
      </c>
      <c r="BA7" s="475">
        <f>SUM(AY7,AZ7)</f>
        <v>0</v>
      </c>
      <c r="BB7" s="474">
        <f>SUM($S7,$U7,$W7,$Y7,$AA7,$AC7,$AE7,$AG7)</f>
        <v>0</v>
      </c>
      <c r="BC7" s="469">
        <f>SUM($T7,$V7,$X7,$Z7,$AB7,$AD7,$AF7,$AH7)</f>
        <v>0</v>
      </c>
      <c r="BD7" s="475">
        <f>SUM(BB7,BC7)</f>
        <v>0</v>
      </c>
      <c r="BE7" s="474">
        <f>SUM($U7,$W7,$Y7,$AA7,$AC7,$AE7,$AG7)</f>
        <v>0</v>
      </c>
      <c r="BF7" s="469">
        <f>SUM($V7,$X7,$Z7,$AB7,$AD7,$AF7,$AH7)</f>
        <v>0</v>
      </c>
      <c r="BG7" s="475">
        <f>SUM(BE7,BF7)</f>
        <v>0</v>
      </c>
      <c r="BH7" s="474">
        <f>SUM($W7,$Y7,$AA7,$AC7,$AE7,$AG7)</f>
        <v>0</v>
      </c>
      <c r="BI7" s="469">
        <f>SUM($X7,$Z7,$AB7,$AD7,$AF7,$AH7)</f>
        <v>0</v>
      </c>
      <c r="BJ7" s="475">
        <f>SUM(BH7,BI7)</f>
        <v>0</v>
      </c>
      <c r="BK7" s="474">
        <f>SUM($Y7,$AA7,$AC7,$AE7,$AG7)</f>
        <v>0</v>
      </c>
      <c r="BL7" s="469">
        <f>SUM($Z7,$AB7,$AD7,$AF7,$AH7)</f>
        <v>0</v>
      </c>
      <c r="BM7" s="475">
        <f>SUM(BK7,BL7)</f>
        <v>0</v>
      </c>
      <c r="BN7" s="474">
        <f>SUM($AA7,$AC7,$AE7,$AG7)</f>
        <v>0</v>
      </c>
      <c r="BO7" s="469">
        <f>SUM($AB7,$AD7,$AF7,$AH7)</f>
        <v>0</v>
      </c>
      <c r="BP7" s="475">
        <f>SUM(BN7,BO7)</f>
        <v>0</v>
      </c>
      <c r="BQ7" s="474">
        <f>SUM($AC7,$AE7,$AG7)</f>
        <v>0</v>
      </c>
      <c r="BR7" s="469">
        <f>SUM($AD7,$AF7,$AH7)</f>
        <v>0</v>
      </c>
      <c r="BS7" s="475">
        <f>SUM(BQ7,BR7)</f>
        <v>0</v>
      </c>
      <c r="BT7" s="474">
        <f>SUM($AE7,$AG7)</f>
        <v>0</v>
      </c>
      <c r="BU7" s="469">
        <f>SUM($AF7,$AH7)</f>
        <v>0</v>
      </c>
      <c r="BV7" s="475">
        <f>SUM(BT7,BU7)</f>
        <v>0</v>
      </c>
      <c r="BW7" s="474">
        <f>SUM($AG7)</f>
        <v>0</v>
      </c>
      <c r="BX7" s="469">
        <f>SUM($AH7)</f>
        <v>0</v>
      </c>
      <c r="BY7" s="475">
        <f>SUM(BW7,BX7)</f>
        <v>0</v>
      </c>
    </row>
    <row r="8" spans="1:77" s="476" customFormat="1">
      <c r="A8" s="468" t="s">
        <v>301</v>
      </c>
      <c r="B8" s="469"/>
      <c r="C8" s="469"/>
      <c r="D8" s="469"/>
      <c r="E8" s="470">
        <f>G8+I8+K8+M8+O8+Q8+S8+U8+W8+Y8+AA8+AC8+AE8+AG8</f>
        <v>0</v>
      </c>
      <c r="F8" s="470">
        <f>H8+J8+L8+N8+P8+R8</f>
        <v>0</v>
      </c>
      <c r="G8" s="469"/>
      <c r="H8" s="469"/>
      <c r="I8" s="469"/>
      <c r="J8" s="469"/>
      <c r="K8" s="469"/>
      <c r="L8" s="471"/>
      <c r="M8" s="469"/>
      <c r="N8" s="469"/>
      <c r="O8" s="469"/>
      <c r="P8" s="469"/>
      <c r="Q8" s="471"/>
      <c r="R8" s="471"/>
      <c r="S8" s="469"/>
      <c r="T8" s="469"/>
      <c r="U8" s="469"/>
      <c r="V8" s="469"/>
      <c r="W8" s="469"/>
      <c r="X8" s="471"/>
      <c r="Y8" s="469"/>
      <c r="Z8" s="469"/>
      <c r="AA8" s="472"/>
      <c r="AB8" s="471"/>
      <c r="AC8" s="469"/>
      <c r="AD8" s="473"/>
      <c r="AE8" s="469"/>
      <c r="AF8" s="473"/>
      <c r="AG8" s="469"/>
      <c r="AH8" s="473"/>
      <c r="AK8" s="468" t="str">
        <f t="shared" si="0"/>
        <v xml:space="preserve"> -</v>
      </c>
      <c r="AL8" s="469">
        <f t="shared" si="0"/>
        <v>0</v>
      </c>
      <c r="AM8" s="474">
        <f>SUM($I8,$K8,$M8,$O8,$Q8,$S8,$U8,$W8,$Y8,$AA8,$AC8,$AE8,$AG8)</f>
        <v>0</v>
      </c>
      <c r="AN8" s="469">
        <f>SUM($J8,$L8,$N8,$P8,$R8,$T8,$V8,$X8,$Z8,$AB8,$AD8,$AF8,$AH8)</f>
        <v>0</v>
      </c>
      <c r="AO8" s="475">
        <f>SUM(AM8,AN8)</f>
        <v>0</v>
      </c>
      <c r="AP8" s="474">
        <f>SUM($K8,$M8,$O8,$Q8,$S8,$U8,$W8,$Y8,$AA8,$AC8,$AE8,$AG8)</f>
        <v>0</v>
      </c>
      <c r="AQ8" s="474">
        <f>SUM($L8,$N8,$P8,$R8,$T8,$V8,$X8,$Z8,$AB8,$AD8,$AF8,$AH8)</f>
        <v>0</v>
      </c>
      <c r="AR8" s="475">
        <f>SUM(AP8,AQ8)</f>
        <v>0</v>
      </c>
      <c r="AS8" s="474">
        <f>SUM($M8,$O8,$Q8,$S8,$U8,$W8,$Y8,$AA8,$AC8,$AE8,$AG8)</f>
        <v>0</v>
      </c>
      <c r="AT8" s="469">
        <f>SUM($N8,$P8,$R8,$T8,$V8,$X8,$Z8,$AB8,$AD8,$AF8,$AH8)</f>
        <v>0</v>
      </c>
      <c r="AU8" s="475">
        <f>SUM(AS8,AT8)</f>
        <v>0</v>
      </c>
      <c r="AV8" s="474">
        <f>SUM($O8,$Q8,$S8,$U8,$W8,$Y8,$AA8,$AC8,$AE8,$AG8)</f>
        <v>0</v>
      </c>
      <c r="AW8" s="474">
        <f>SUM($P8,$R8,$T8,$V8,$X8,$Z8,$AB8,$AD8,$AF8,$AH8)</f>
        <v>0</v>
      </c>
      <c r="AX8" s="475">
        <f>SUM(AV8,AW8)</f>
        <v>0</v>
      </c>
      <c r="AY8" s="474">
        <f>SUM($Q8,$S8,$U8,$W8,$Y8,$AA8,$AC8,$AE8,$AG8)</f>
        <v>0</v>
      </c>
      <c r="AZ8" s="469">
        <f>SUM($R8,$T8,$V8,$X8,$Z8,$AB8,$AD8,$AF8,$AH8)</f>
        <v>0</v>
      </c>
      <c r="BA8" s="475">
        <f>SUM(AY8,AZ8)</f>
        <v>0</v>
      </c>
      <c r="BB8" s="474">
        <f>SUM($S8,$U8,$W8,$Y8,$AA8,$AC8,$AE8,$AG8)</f>
        <v>0</v>
      </c>
      <c r="BC8" s="469">
        <f>SUM($T8,$V8,$X8,$Z8,$AB8,$AD8,$AF8,$AH8)</f>
        <v>0</v>
      </c>
      <c r="BD8" s="475">
        <f>SUM(BB8,BC8)</f>
        <v>0</v>
      </c>
      <c r="BE8" s="474">
        <f>SUM($U8,$W8,$Y8,$AA8,$AC8,$AE8,$AG8)</f>
        <v>0</v>
      </c>
      <c r="BF8" s="469">
        <f>SUM($V8,$X8,$Z8,$AB8,$AD8,$AF8,$AH8)</f>
        <v>0</v>
      </c>
      <c r="BG8" s="475">
        <f>SUM(BE8,BF8)</f>
        <v>0</v>
      </c>
      <c r="BH8" s="474">
        <f>SUM($W8,$Y8,$AA8,$AC8,$AE8,$AG8)</f>
        <v>0</v>
      </c>
      <c r="BI8" s="469">
        <f>SUM($X8,$Z8,$AB8,$AD8,$AF8,$AH8)</f>
        <v>0</v>
      </c>
      <c r="BJ8" s="475">
        <f>SUM(BH8,BI8)</f>
        <v>0</v>
      </c>
      <c r="BK8" s="474">
        <f>SUM($Y8,$AA8,$AC8,$AE8,$AG8)</f>
        <v>0</v>
      </c>
      <c r="BL8" s="469">
        <f>SUM($Z8,$AB8,$AD8,$AF8,$AH8)</f>
        <v>0</v>
      </c>
      <c r="BM8" s="475">
        <f>SUM(BK8,BL8)</f>
        <v>0</v>
      </c>
      <c r="BN8" s="474">
        <f>SUM($AA8,$AC8,$AE8,$AG8)</f>
        <v>0</v>
      </c>
      <c r="BO8" s="469">
        <f>SUM($AB8,$AD8,$AF8,$AH8)</f>
        <v>0</v>
      </c>
      <c r="BP8" s="475">
        <f>SUM(BN8,BO8)</f>
        <v>0</v>
      </c>
      <c r="BQ8" s="474">
        <f>SUM($AC8,$AE8,$AG8)</f>
        <v>0</v>
      </c>
      <c r="BR8" s="469">
        <f>SUM($AD8,$AF8,$AH8)</f>
        <v>0</v>
      </c>
      <c r="BS8" s="475">
        <f>SUM(BQ8,BR8)</f>
        <v>0</v>
      </c>
      <c r="BT8" s="474">
        <f>SUM($AE8,$AG8)</f>
        <v>0</v>
      </c>
      <c r="BU8" s="469">
        <f>SUM($AF8,$AH8)</f>
        <v>0</v>
      </c>
      <c r="BV8" s="475">
        <f>SUM(BT8,BU8)</f>
        <v>0</v>
      </c>
      <c r="BW8" s="474">
        <f>SUM($AG8)</f>
        <v>0</v>
      </c>
      <c r="BX8" s="469">
        <f>SUM($AH8)</f>
        <v>0</v>
      </c>
      <c r="BY8" s="475">
        <f>SUM(BW8,BX8)</f>
        <v>0</v>
      </c>
    </row>
    <row r="9" spans="1:77">
      <c r="A9" s="468" t="s">
        <v>301</v>
      </c>
      <c r="B9" s="469"/>
      <c r="C9" s="469"/>
      <c r="D9" s="469"/>
      <c r="E9" s="470">
        <f>G9+I9+K9+M9+O9+Q9+S9+U9+W9+Y9+AA9+AC9+AE9+AG9</f>
        <v>0</v>
      </c>
      <c r="F9" s="470">
        <f>H9+J9+L9+N9+P9+R9</f>
        <v>0</v>
      </c>
      <c r="G9" s="469"/>
      <c r="H9" s="469"/>
      <c r="I9" s="469"/>
      <c r="J9" s="469"/>
      <c r="K9" s="469"/>
      <c r="L9" s="471"/>
      <c r="M9" s="469"/>
      <c r="N9" s="469"/>
      <c r="O9" s="469"/>
      <c r="P9" s="469"/>
      <c r="Q9" s="471"/>
      <c r="R9" s="471"/>
      <c r="S9" s="469"/>
      <c r="T9" s="469"/>
      <c r="U9" s="469"/>
      <c r="V9" s="469"/>
      <c r="W9" s="469"/>
      <c r="X9" s="471"/>
      <c r="Y9" s="469"/>
      <c r="Z9" s="469"/>
      <c r="AA9" s="472"/>
      <c r="AB9" s="471"/>
      <c r="AC9" s="469"/>
      <c r="AD9" s="473"/>
      <c r="AE9" s="469"/>
      <c r="AF9" s="473"/>
      <c r="AG9" s="469"/>
      <c r="AH9" s="473"/>
      <c r="AK9" s="468" t="str">
        <f t="shared" si="0"/>
        <v xml:space="preserve"> -</v>
      </c>
      <c r="AL9" s="469">
        <f t="shared" si="0"/>
        <v>0</v>
      </c>
      <c r="AM9" s="474">
        <f>SUM($I9,$K9,$M9,$O9,$Q9,$S9,$U9,$W9,$Y9,$AA9,$AC9,$AE9,$AG9)</f>
        <v>0</v>
      </c>
      <c r="AN9" s="469">
        <f>SUM($J9,$L9,$N9,$P9,$R9,$T9,$V9,$X9,$Z9,$AB9,$AD9,$AF9,$AH9)</f>
        <v>0</v>
      </c>
      <c r="AO9" s="475">
        <f>SUM(AM9,AN9)</f>
        <v>0</v>
      </c>
      <c r="AP9" s="474">
        <f>SUM($K9,$M9,$O9,$Q9,$S9,$U9,$W9,$Y9,$AA9,$AC9,$AE9,$AG9)</f>
        <v>0</v>
      </c>
      <c r="AQ9" s="474">
        <f>SUM($L9,$N9,$P9,$R9,$T9,$V9,$X9,$Z9,$AB9,$AD9,$AF9,$AH9)</f>
        <v>0</v>
      </c>
      <c r="AR9" s="475">
        <f>SUM(AP9,AQ9)</f>
        <v>0</v>
      </c>
      <c r="AS9" s="474">
        <f>SUM($M9,$O9,$Q9,$S9,$U9,$W9,$Y9,$AA9,$AC9,$AE9,$AG9)</f>
        <v>0</v>
      </c>
      <c r="AT9" s="469">
        <f>SUM($N9,$P9,$R9,$T9,$V9,$X9,$Z9,$AB9,$AD9,$AF9,$AH9)</f>
        <v>0</v>
      </c>
      <c r="AU9" s="475">
        <f>SUM(AS9,AT9)</f>
        <v>0</v>
      </c>
      <c r="AV9" s="474">
        <f>SUM($O9,$Q9,$S9,$U9,$W9,$Y9,$AA9,$AC9,$AE9,$AG9)</f>
        <v>0</v>
      </c>
      <c r="AW9" s="474">
        <f>SUM($P9,$R9,$T9,$V9,$X9,$Z9,$AB9,$AD9,$AF9,$AH9)</f>
        <v>0</v>
      </c>
      <c r="AX9" s="475">
        <f>SUM(AV9,AW9)</f>
        <v>0</v>
      </c>
      <c r="AY9" s="474">
        <f>SUM($Q9,$S9,$U9,$W9,$Y9,$AA9,$AC9,$AE9,$AG9)</f>
        <v>0</v>
      </c>
      <c r="AZ9" s="469">
        <f>SUM($R9,$T9,$V9,$X9,$Z9,$AB9,$AD9,$AF9,$AH9)</f>
        <v>0</v>
      </c>
      <c r="BA9" s="475">
        <f>SUM(AY9,AZ9)</f>
        <v>0</v>
      </c>
      <c r="BB9" s="474">
        <f>SUM($S9,$U9,$W9,$Y9,$AA9,$AC9,$AE9,$AG9)</f>
        <v>0</v>
      </c>
      <c r="BC9" s="469">
        <f>SUM($T9,$V9,$X9,$Z9,$AB9,$AD9,$AF9,$AH9)</f>
        <v>0</v>
      </c>
      <c r="BD9" s="475">
        <f>SUM(BB9,BC9)</f>
        <v>0</v>
      </c>
      <c r="BE9" s="474">
        <f>SUM($U9,$W9,$Y9,$AA9,$AC9,$AE9,$AG9)</f>
        <v>0</v>
      </c>
      <c r="BF9" s="469">
        <f>SUM($V9,$X9,$Z9,$AB9,$AD9,$AF9,$AH9)</f>
        <v>0</v>
      </c>
      <c r="BG9" s="475">
        <f>SUM(BE9,BF9)</f>
        <v>0</v>
      </c>
      <c r="BH9" s="474">
        <f>SUM($W9,$Y9,$AA9,$AC9,$AE9,$AG9)</f>
        <v>0</v>
      </c>
      <c r="BI9" s="469">
        <f>SUM($X9,$Z9,$AB9,$AD9,$AF9,$AH9)</f>
        <v>0</v>
      </c>
      <c r="BJ9" s="475">
        <f>SUM(BH9,BI9)</f>
        <v>0</v>
      </c>
      <c r="BK9" s="474">
        <f>SUM($Y9,$AA9,$AC9,$AE9,$AG9)</f>
        <v>0</v>
      </c>
      <c r="BL9" s="469">
        <f>SUM($Z9,$AB9,$AD9,$AF9,$AH9)</f>
        <v>0</v>
      </c>
      <c r="BM9" s="475">
        <f>SUM(BK9,BL9)</f>
        <v>0</v>
      </c>
      <c r="BN9" s="474">
        <f>SUM($AA9,$AC9,$AE9,$AG9)</f>
        <v>0</v>
      </c>
      <c r="BO9" s="469">
        <f>SUM($AB9,$AD9,$AF9,$AH9)</f>
        <v>0</v>
      </c>
      <c r="BP9" s="475">
        <f>SUM(BN9,BO9)</f>
        <v>0</v>
      </c>
      <c r="BQ9" s="474">
        <f>SUM($AC9,$AE9,$AG9)</f>
        <v>0</v>
      </c>
      <c r="BR9" s="469">
        <f>SUM($AD9,$AF9,$AH9)</f>
        <v>0</v>
      </c>
      <c r="BS9" s="475">
        <f>SUM(BQ9,BR9)</f>
        <v>0</v>
      </c>
      <c r="BT9" s="474">
        <f>SUM($AE9,$AG9)</f>
        <v>0</v>
      </c>
      <c r="BU9" s="469">
        <f>SUM($AF9,$AH9)</f>
        <v>0</v>
      </c>
      <c r="BV9" s="475">
        <f>SUM(BT9,BU9)</f>
        <v>0</v>
      </c>
      <c r="BW9" s="474">
        <f>SUM($AG9)</f>
        <v>0</v>
      </c>
      <c r="BX9" s="469">
        <f>SUM($AH9)</f>
        <v>0</v>
      </c>
      <c r="BY9" s="475">
        <f>SUM(BW9,BX9)</f>
        <v>0</v>
      </c>
    </row>
    <row r="10" spans="1:77">
      <c r="A10" s="468" t="s">
        <v>301</v>
      </c>
      <c r="B10" s="477"/>
      <c r="C10" s="469"/>
      <c r="D10" s="469"/>
      <c r="E10" s="470">
        <f>G10+I10+K10+M10+O10+Q10+S10+U10+W10+Y10+AA10+AC10+AE10+AG10</f>
        <v>0</v>
      </c>
      <c r="F10" s="470">
        <f>H10+J10+L10+N10+P10+R10</f>
        <v>0</v>
      </c>
      <c r="G10" s="469"/>
      <c r="H10" s="469"/>
      <c r="I10" s="469"/>
      <c r="J10" s="469"/>
      <c r="K10" s="469"/>
      <c r="L10" s="471"/>
      <c r="M10" s="469"/>
      <c r="N10" s="469"/>
      <c r="O10" s="469"/>
      <c r="P10" s="469"/>
      <c r="Q10" s="471"/>
      <c r="R10" s="471"/>
      <c r="S10" s="469"/>
      <c r="T10" s="469"/>
      <c r="U10" s="469"/>
      <c r="V10" s="469"/>
      <c r="W10" s="469"/>
      <c r="X10" s="471"/>
      <c r="Y10" s="469"/>
      <c r="Z10" s="469"/>
      <c r="AA10" s="472"/>
      <c r="AB10" s="471"/>
      <c r="AC10" s="469"/>
      <c r="AD10" s="473"/>
      <c r="AE10" s="469"/>
      <c r="AF10" s="473"/>
      <c r="AG10" s="469"/>
      <c r="AH10" s="473"/>
      <c r="AK10" s="468" t="str">
        <f t="shared" si="0"/>
        <v xml:space="preserve"> -</v>
      </c>
      <c r="AL10" s="469">
        <f t="shared" si="0"/>
        <v>0</v>
      </c>
      <c r="AM10" s="474">
        <f>SUM($I10,$K10,$M10,$O10,$Q10,$S10,$U10,$W10,$Y10,$AA10,$AC10,$AE10,$AG10)</f>
        <v>0</v>
      </c>
      <c r="AN10" s="469">
        <f>SUM($J10,$L10,$N10,$P10,$R10,$T10,$V10,$X10,$Z10,$AB10,$AD10,$AF10,$AH10)</f>
        <v>0</v>
      </c>
      <c r="AO10" s="475">
        <f>SUM(AM10,AN10)</f>
        <v>0</v>
      </c>
      <c r="AP10" s="474">
        <f>SUM($K10,$M10,$O10,$Q10,$S10,$U10,$W10,$Y10,$AA10,$AC10,$AE10,$AG10)</f>
        <v>0</v>
      </c>
      <c r="AQ10" s="474">
        <f>SUM($L10,$N10,$P10,$R10,$T10,$V10,$X10,$Z10,$AB10,$AD10,$AF10,$AH10)</f>
        <v>0</v>
      </c>
      <c r="AR10" s="475">
        <f>SUM(AP10,AQ10)</f>
        <v>0</v>
      </c>
      <c r="AS10" s="474">
        <f>SUM($M10,$O10,$Q10,$S10,$U10,$W10,$Y10,$AA10,$AC10,$AE10,$AG10)</f>
        <v>0</v>
      </c>
      <c r="AT10" s="469">
        <f>SUM($N10,$P10,$R10,$T10,$V10,$X10,$Z10,$AB10,$AD10,$AF10,$AH10)</f>
        <v>0</v>
      </c>
      <c r="AU10" s="475">
        <f>SUM(AS10,AT10)</f>
        <v>0</v>
      </c>
      <c r="AV10" s="474">
        <f>SUM($O10,$Q10,$S10,$U10,$W10,$Y10,$AA10,$AC10,$AE10,$AG10)</f>
        <v>0</v>
      </c>
      <c r="AW10" s="474">
        <f>SUM($P10,$R10,$T10,$V10,$X10,$Z10,$AB10,$AD10,$AF10,$AH10)</f>
        <v>0</v>
      </c>
      <c r="AX10" s="475">
        <f>SUM(AV10,AW10)</f>
        <v>0</v>
      </c>
      <c r="AY10" s="474">
        <f>SUM($Q10,$S10,$U10,$W10,$Y10,$AA10,$AC10,$AE10,$AG10)</f>
        <v>0</v>
      </c>
      <c r="AZ10" s="469">
        <f>SUM($R10,$T10,$V10,$X10,$Z10,$AB10,$AD10,$AF10,$AH10)</f>
        <v>0</v>
      </c>
      <c r="BA10" s="475">
        <f>SUM(AY10,AZ10)</f>
        <v>0</v>
      </c>
      <c r="BB10" s="474">
        <f>SUM($S10,$U10,$W10,$Y10,$AA10,$AC10,$AE10,$AG10)</f>
        <v>0</v>
      </c>
      <c r="BC10" s="469">
        <f>SUM($T10,$V10,$X10,$Z10,$AB10,$AD10,$AF10,$AH10)</f>
        <v>0</v>
      </c>
      <c r="BD10" s="475">
        <f>SUM(BB10,BC10)</f>
        <v>0</v>
      </c>
      <c r="BE10" s="474">
        <f>SUM($U10,$W10,$Y10,$AA10,$AC10,$AE10,$AG10)</f>
        <v>0</v>
      </c>
      <c r="BF10" s="469">
        <f>SUM($V10,$X10,$Z10,$AB10,$AD10,$AF10,$AH10)</f>
        <v>0</v>
      </c>
      <c r="BG10" s="475">
        <f>SUM(BE10,BF10)</f>
        <v>0</v>
      </c>
      <c r="BH10" s="474">
        <f>SUM($W10,$Y10,$AA10,$AC10,$AE10,$AG10)</f>
        <v>0</v>
      </c>
      <c r="BI10" s="469">
        <f>SUM($X10,$Z10,$AB10,$AD10,$AF10,$AH10)</f>
        <v>0</v>
      </c>
      <c r="BJ10" s="475">
        <f>SUM(BH10,BI10)</f>
        <v>0</v>
      </c>
      <c r="BK10" s="474">
        <f>SUM($Y10,$AA10,$AC10,$AE10,$AG10)</f>
        <v>0</v>
      </c>
      <c r="BL10" s="472">
        <f>SUM($Z10,$AB10,$AD10,$AF10,$AH10)</f>
        <v>0</v>
      </c>
      <c r="BM10" s="475">
        <f>SUM(BK10,BL10)</f>
        <v>0</v>
      </c>
      <c r="BN10" s="474">
        <f>SUM($AA10,$AC10,$AE10,$AG10)</f>
        <v>0</v>
      </c>
      <c r="BO10" s="472">
        <f>SUM($AB10,$AD10,$AF10,$AH10)</f>
        <v>0</v>
      </c>
      <c r="BP10" s="475">
        <f>SUM(BN10,BO10)</f>
        <v>0</v>
      </c>
      <c r="BQ10" s="474">
        <f>SUM($AC10,$AE10,$AG10)</f>
        <v>0</v>
      </c>
      <c r="BR10" s="472">
        <f>SUM($AD10,$AF10,$AH10)</f>
        <v>0</v>
      </c>
      <c r="BS10" s="475">
        <f>SUM(BQ10,BR10)</f>
        <v>0</v>
      </c>
      <c r="BT10" s="474">
        <f>SUM($AE10,$AG10)</f>
        <v>0</v>
      </c>
      <c r="BU10" s="472">
        <f>SUM($AF10,$AH10)</f>
        <v>0</v>
      </c>
      <c r="BV10" s="475">
        <f>SUM(BT10,BU10)</f>
        <v>0</v>
      </c>
      <c r="BW10" s="474">
        <f>SUM($AG10)</f>
        <v>0</v>
      </c>
      <c r="BX10" s="472">
        <f>SUM($AH10)</f>
        <v>0</v>
      </c>
      <c r="BY10" s="475">
        <f>SUM(BW10,BX10)</f>
        <v>0</v>
      </c>
    </row>
    <row r="11" spans="1:77">
      <c r="A11" s="478" t="s">
        <v>302</v>
      </c>
      <c r="B11" s="479"/>
      <c r="C11" s="480">
        <f>SUM(C6:C10)</f>
        <v>0</v>
      </c>
      <c r="D11" s="480">
        <f t="shared" ref="D11:AH11" si="1">SUM(D6:D10)</f>
        <v>0</v>
      </c>
      <c r="E11" s="480">
        <f t="shared" si="1"/>
        <v>0</v>
      </c>
      <c r="F11" s="480">
        <f t="shared" si="1"/>
        <v>0</v>
      </c>
      <c r="G11" s="480">
        <f t="shared" si="1"/>
        <v>0</v>
      </c>
      <c r="H11" s="480">
        <f t="shared" si="1"/>
        <v>0</v>
      </c>
      <c r="I11" s="480">
        <f t="shared" si="1"/>
        <v>0</v>
      </c>
      <c r="J11" s="480">
        <f t="shared" si="1"/>
        <v>0</v>
      </c>
      <c r="K11" s="480">
        <f t="shared" si="1"/>
        <v>0</v>
      </c>
      <c r="L11" s="480">
        <f t="shared" si="1"/>
        <v>0</v>
      </c>
      <c r="M11" s="480">
        <f t="shared" si="1"/>
        <v>0</v>
      </c>
      <c r="N11" s="480">
        <f t="shared" si="1"/>
        <v>0</v>
      </c>
      <c r="O11" s="480">
        <f t="shared" si="1"/>
        <v>0</v>
      </c>
      <c r="P11" s="480">
        <f t="shared" si="1"/>
        <v>0</v>
      </c>
      <c r="Q11" s="480">
        <f t="shared" si="1"/>
        <v>0</v>
      </c>
      <c r="R11" s="480">
        <f t="shared" si="1"/>
        <v>0</v>
      </c>
      <c r="S11" s="480">
        <f t="shared" si="1"/>
        <v>0</v>
      </c>
      <c r="T11" s="480">
        <f t="shared" si="1"/>
        <v>0</v>
      </c>
      <c r="U11" s="480">
        <f t="shared" si="1"/>
        <v>0</v>
      </c>
      <c r="V11" s="480">
        <f t="shared" si="1"/>
        <v>0</v>
      </c>
      <c r="W11" s="480">
        <f t="shared" si="1"/>
        <v>0</v>
      </c>
      <c r="X11" s="480">
        <f t="shared" si="1"/>
        <v>0</v>
      </c>
      <c r="Y11" s="480">
        <f t="shared" si="1"/>
        <v>0</v>
      </c>
      <c r="Z11" s="480">
        <f t="shared" si="1"/>
        <v>0</v>
      </c>
      <c r="AA11" s="480">
        <f t="shared" si="1"/>
        <v>0</v>
      </c>
      <c r="AB11" s="480">
        <f t="shared" si="1"/>
        <v>0</v>
      </c>
      <c r="AC11" s="480">
        <f t="shared" si="1"/>
        <v>0</v>
      </c>
      <c r="AD11" s="480">
        <f t="shared" si="1"/>
        <v>0</v>
      </c>
      <c r="AE11" s="481">
        <f t="shared" si="1"/>
        <v>0</v>
      </c>
      <c r="AF11" s="480">
        <f t="shared" si="1"/>
        <v>0</v>
      </c>
      <c r="AG11" s="480">
        <f t="shared" si="1"/>
        <v>0</v>
      </c>
      <c r="AH11" s="480">
        <f t="shared" si="1"/>
        <v>0</v>
      </c>
      <c r="AK11" s="478" t="s">
        <v>302</v>
      </c>
      <c r="AL11" s="482">
        <f>SUM(AL6,AL7,AL9,AL10)</f>
        <v>0</v>
      </c>
      <c r="AM11" s="483">
        <f>SUM(AM6:AM10)</f>
        <v>0</v>
      </c>
      <c r="AN11" s="484">
        <f t="shared" ref="AN11:BY11" si="2">SUM(AN6:AN10)</f>
        <v>0</v>
      </c>
      <c r="AO11" s="485">
        <f t="shared" si="2"/>
        <v>0</v>
      </c>
      <c r="AP11" s="483">
        <f t="shared" si="2"/>
        <v>0</v>
      </c>
      <c r="AQ11" s="483">
        <f t="shared" si="2"/>
        <v>0</v>
      </c>
      <c r="AR11" s="483">
        <f t="shared" si="2"/>
        <v>0</v>
      </c>
      <c r="AS11" s="483">
        <f t="shared" si="2"/>
        <v>0</v>
      </c>
      <c r="AT11" s="483">
        <f t="shared" si="2"/>
        <v>0</v>
      </c>
      <c r="AU11" s="483">
        <f t="shared" si="2"/>
        <v>0</v>
      </c>
      <c r="AV11" s="483">
        <f t="shared" si="2"/>
        <v>0</v>
      </c>
      <c r="AW11" s="483">
        <f t="shared" si="2"/>
        <v>0</v>
      </c>
      <c r="AX11" s="483">
        <f t="shared" si="2"/>
        <v>0</v>
      </c>
      <c r="AY11" s="483">
        <f t="shared" si="2"/>
        <v>0</v>
      </c>
      <c r="AZ11" s="483">
        <f t="shared" si="2"/>
        <v>0</v>
      </c>
      <c r="BA11" s="483">
        <f t="shared" si="2"/>
        <v>0</v>
      </c>
      <c r="BB11" s="483">
        <f t="shared" si="2"/>
        <v>0</v>
      </c>
      <c r="BC11" s="483">
        <f t="shared" si="2"/>
        <v>0</v>
      </c>
      <c r="BD11" s="483">
        <f t="shared" si="2"/>
        <v>0</v>
      </c>
      <c r="BE11" s="483">
        <f t="shared" si="2"/>
        <v>0</v>
      </c>
      <c r="BF11" s="483">
        <f t="shared" si="2"/>
        <v>0</v>
      </c>
      <c r="BG11" s="483">
        <f t="shared" si="2"/>
        <v>0</v>
      </c>
      <c r="BH11" s="483">
        <f t="shared" si="2"/>
        <v>0</v>
      </c>
      <c r="BI11" s="483">
        <f t="shared" si="2"/>
        <v>0</v>
      </c>
      <c r="BJ11" s="483">
        <f t="shared" si="2"/>
        <v>0</v>
      </c>
      <c r="BK11" s="483">
        <f t="shared" si="2"/>
        <v>0</v>
      </c>
      <c r="BL11" s="483">
        <f t="shared" si="2"/>
        <v>0</v>
      </c>
      <c r="BM11" s="483">
        <f t="shared" si="2"/>
        <v>0</v>
      </c>
      <c r="BN11" s="483">
        <f t="shared" si="2"/>
        <v>0</v>
      </c>
      <c r="BO11" s="483">
        <f t="shared" si="2"/>
        <v>0</v>
      </c>
      <c r="BP11" s="483">
        <f t="shared" si="2"/>
        <v>0</v>
      </c>
      <c r="BQ11" s="483">
        <f t="shared" si="2"/>
        <v>0</v>
      </c>
      <c r="BR11" s="483">
        <f t="shared" si="2"/>
        <v>0</v>
      </c>
      <c r="BS11" s="483">
        <f t="shared" si="2"/>
        <v>0</v>
      </c>
      <c r="BT11" s="483">
        <f t="shared" si="2"/>
        <v>0</v>
      </c>
      <c r="BU11" s="483">
        <f t="shared" si="2"/>
        <v>0</v>
      </c>
      <c r="BV11" s="483">
        <f t="shared" si="2"/>
        <v>0</v>
      </c>
      <c r="BW11" s="483">
        <f t="shared" si="2"/>
        <v>0</v>
      </c>
      <c r="BX11" s="483">
        <f t="shared" si="2"/>
        <v>0</v>
      </c>
      <c r="BY11" s="483">
        <f t="shared" si="2"/>
        <v>0</v>
      </c>
    </row>
    <row r="12" spans="1:77" ht="14.25" thickBot="1">
      <c r="A12" s="486"/>
      <c r="B12" s="487" t="s">
        <v>303</v>
      </c>
      <c r="C12" s="1415">
        <f>SUM(C11,D11)</f>
        <v>0</v>
      </c>
      <c r="D12" s="1415"/>
      <c r="E12" s="1415">
        <f>SUM(E11,F11)</f>
        <v>0</v>
      </c>
      <c r="F12" s="1415"/>
      <c r="G12" s="1415">
        <f>SUM(G11,H11)</f>
        <v>0</v>
      </c>
      <c r="H12" s="1415"/>
      <c r="I12" s="1415">
        <f>SUM(I11,J11)</f>
        <v>0</v>
      </c>
      <c r="J12" s="1415"/>
      <c r="K12" s="1415">
        <f>SUM(K11,L11)</f>
        <v>0</v>
      </c>
      <c r="L12" s="1415"/>
      <c r="M12" s="1415">
        <f>SUM(M11,N11)</f>
        <v>0</v>
      </c>
      <c r="N12" s="1415"/>
      <c r="O12" s="1415">
        <f>SUM(O11,P11)</f>
        <v>0</v>
      </c>
      <c r="P12" s="1419"/>
      <c r="Q12" s="1415">
        <f>SUM(Q11,R11)</f>
        <v>0</v>
      </c>
      <c r="R12" s="1415"/>
      <c r="S12" s="1415">
        <f>SUM(S11,T11)</f>
        <v>0</v>
      </c>
      <c r="T12" s="1415"/>
      <c r="U12" s="1415">
        <f>SUM(U11,V11)</f>
        <v>0</v>
      </c>
      <c r="V12" s="1415"/>
      <c r="W12" s="1415">
        <f>SUM(W11,X11)</f>
        <v>0</v>
      </c>
      <c r="X12" s="1415"/>
      <c r="Y12" s="1415">
        <f>SUM(Y11,Z11)</f>
        <v>0</v>
      </c>
      <c r="Z12" s="1415"/>
      <c r="AA12" s="1415">
        <f>SUM(AA11,AB11)</f>
        <v>0</v>
      </c>
      <c r="AB12" s="1419"/>
      <c r="AC12" s="1415">
        <f>SUM(AC11,AD11)</f>
        <v>0</v>
      </c>
      <c r="AD12" s="1415"/>
      <c r="AE12" s="1420">
        <f>SUM(AE11,AF11)</f>
        <v>0</v>
      </c>
      <c r="AF12" s="1419"/>
      <c r="AG12" s="1415">
        <f>SUM(AG11,AH11)</f>
        <v>0</v>
      </c>
      <c r="AH12" s="1421"/>
      <c r="AK12" s="488"/>
      <c r="AL12" s="489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</row>
    <row r="13" spans="1:77">
      <c r="A13" s="486" t="s">
        <v>304</v>
      </c>
      <c r="B13" s="491" t="s">
        <v>305</v>
      </c>
      <c r="C13" s="491" t="s">
        <v>298</v>
      </c>
      <c r="D13" s="491" t="s">
        <v>299</v>
      </c>
      <c r="E13" s="491" t="s">
        <v>298</v>
      </c>
      <c r="F13" s="491" t="s">
        <v>299</v>
      </c>
      <c r="G13" s="491" t="s">
        <v>298</v>
      </c>
      <c r="H13" s="491" t="s">
        <v>299</v>
      </c>
      <c r="I13" s="491" t="s">
        <v>298</v>
      </c>
      <c r="J13" s="491" t="s">
        <v>299</v>
      </c>
      <c r="K13" s="491" t="s">
        <v>298</v>
      </c>
      <c r="L13" s="491" t="s">
        <v>299</v>
      </c>
      <c r="M13" s="491" t="s">
        <v>298</v>
      </c>
      <c r="N13" s="491" t="s">
        <v>299</v>
      </c>
      <c r="O13" s="491" t="s">
        <v>298</v>
      </c>
      <c r="P13" s="492" t="s">
        <v>299</v>
      </c>
      <c r="Q13" s="491" t="s">
        <v>298</v>
      </c>
      <c r="R13" s="491" t="s">
        <v>299</v>
      </c>
      <c r="S13" s="491" t="s">
        <v>298</v>
      </c>
      <c r="T13" s="491" t="s">
        <v>299</v>
      </c>
      <c r="U13" s="491" t="s">
        <v>298</v>
      </c>
      <c r="V13" s="491" t="s">
        <v>299</v>
      </c>
      <c r="W13" s="491" t="s">
        <v>298</v>
      </c>
      <c r="X13" s="491" t="s">
        <v>299</v>
      </c>
      <c r="Y13" s="491" t="s">
        <v>298</v>
      </c>
      <c r="Z13" s="491" t="s">
        <v>299</v>
      </c>
      <c r="AA13" s="491" t="s">
        <v>298</v>
      </c>
      <c r="AB13" s="492" t="s">
        <v>299</v>
      </c>
      <c r="AC13" s="491" t="s">
        <v>298</v>
      </c>
      <c r="AD13" s="491" t="s">
        <v>299</v>
      </c>
      <c r="AE13" s="493" t="s">
        <v>298</v>
      </c>
      <c r="AF13" s="492" t="s">
        <v>299</v>
      </c>
      <c r="AG13" s="491" t="s">
        <v>298</v>
      </c>
      <c r="AH13" s="494" t="s">
        <v>299</v>
      </c>
      <c r="AK13" s="495" t="s">
        <v>304</v>
      </c>
      <c r="AL13" s="496" t="s">
        <v>305</v>
      </c>
      <c r="AM13" s="497" t="s">
        <v>298</v>
      </c>
      <c r="AN13" s="498" t="s">
        <v>299</v>
      </c>
      <c r="AO13" s="499" t="s">
        <v>300</v>
      </c>
      <c r="AP13" s="497" t="s">
        <v>298</v>
      </c>
      <c r="AQ13" s="498" t="s">
        <v>299</v>
      </c>
      <c r="AR13" s="499" t="s">
        <v>300</v>
      </c>
      <c r="AS13" s="497" t="s">
        <v>298</v>
      </c>
      <c r="AT13" s="498" t="s">
        <v>299</v>
      </c>
      <c r="AU13" s="499" t="s">
        <v>300</v>
      </c>
      <c r="AV13" s="497" t="s">
        <v>298</v>
      </c>
      <c r="AW13" s="498" t="s">
        <v>299</v>
      </c>
      <c r="AX13" s="499" t="s">
        <v>300</v>
      </c>
      <c r="AY13" s="497" t="s">
        <v>298</v>
      </c>
      <c r="AZ13" s="498" t="s">
        <v>299</v>
      </c>
      <c r="BA13" s="499" t="s">
        <v>300</v>
      </c>
      <c r="BB13" s="497" t="s">
        <v>298</v>
      </c>
      <c r="BC13" s="498" t="s">
        <v>299</v>
      </c>
      <c r="BD13" s="499" t="s">
        <v>300</v>
      </c>
      <c r="BE13" s="497" t="s">
        <v>298</v>
      </c>
      <c r="BF13" s="498" t="s">
        <v>299</v>
      </c>
      <c r="BG13" s="499" t="s">
        <v>300</v>
      </c>
      <c r="BH13" s="497" t="s">
        <v>298</v>
      </c>
      <c r="BI13" s="498" t="s">
        <v>299</v>
      </c>
      <c r="BJ13" s="499" t="s">
        <v>300</v>
      </c>
      <c r="BK13" s="497" t="s">
        <v>298</v>
      </c>
      <c r="BL13" s="498" t="s">
        <v>299</v>
      </c>
      <c r="BM13" s="499" t="s">
        <v>300</v>
      </c>
      <c r="BN13" s="497" t="s">
        <v>298</v>
      </c>
      <c r="BO13" s="498" t="s">
        <v>299</v>
      </c>
      <c r="BP13" s="499" t="s">
        <v>300</v>
      </c>
      <c r="BQ13" s="497" t="s">
        <v>298</v>
      </c>
      <c r="BR13" s="498" t="s">
        <v>299</v>
      </c>
      <c r="BS13" s="499" t="s">
        <v>300</v>
      </c>
      <c r="BT13" s="497" t="s">
        <v>298</v>
      </c>
      <c r="BU13" s="498" t="s">
        <v>299</v>
      </c>
      <c r="BV13" s="499" t="s">
        <v>300</v>
      </c>
      <c r="BW13" s="497" t="s">
        <v>298</v>
      </c>
      <c r="BX13" s="498" t="s">
        <v>299</v>
      </c>
      <c r="BY13" s="499" t="s">
        <v>300</v>
      </c>
    </row>
    <row r="14" spans="1:77" ht="13.5">
      <c r="A14" s="500" t="s">
        <v>225</v>
      </c>
      <c r="B14" s="501">
        <v>518029</v>
      </c>
      <c r="C14" s="502">
        <v>57559</v>
      </c>
      <c r="D14" s="502">
        <v>2862.48</v>
      </c>
      <c r="E14" s="502">
        <f>G14+I14+K14+M14+O14+Q14+S14+U14+W14+Y14+AA14+AC14+AE14+AG14</f>
        <v>115116</v>
      </c>
      <c r="F14" s="502">
        <f>H14+J14+L14+N14+P14+R14</f>
        <v>1733.42</v>
      </c>
      <c r="G14" s="502">
        <v>57559</v>
      </c>
      <c r="H14" s="503">
        <v>1266.73</v>
      </c>
      <c r="I14" s="502">
        <v>57557</v>
      </c>
      <c r="J14" s="502">
        <v>466.69</v>
      </c>
      <c r="K14" s="502"/>
      <c r="L14" s="502"/>
      <c r="M14" s="503"/>
      <c r="N14" s="503"/>
      <c r="O14" s="502"/>
      <c r="P14" s="502"/>
      <c r="Q14" s="502"/>
      <c r="R14" s="502"/>
      <c r="S14" s="502"/>
      <c r="T14" s="503"/>
      <c r="U14" s="502"/>
      <c r="V14" s="503"/>
      <c r="W14" s="502"/>
      <c r="X14" s="502"/>
      <c r="Y14" s="504"/>
      <c r="Z14" s="503"/>
      <c r="AA14" s="502"/>
      <c r="AB14" s="505"/>
      <c r="AC14" s="502"/>
      <c r="AD14" s="505"/>
      <c r="AE14" s="502"/>
      <c r="AF14" s="505"/>
      <c r="AG14" s="502"/>
      <c r="AH14" s="505"/>
      <c r="AK14" s="506" t="str">
        <f t="shared" ref="AK14:AL29" si="3">A14</f>
        <v>WFOŚiGW 19/2004/76/OA/no/P</v>
      </c>
      <c r="AL14" s="507">
        <f t="shared" si="3"/>
        <v>518029</v>
      </c>
      <c r="AM14" s="508">
        <f t="shared" ref="AM14:AM24" si="4">SUM($I14,$K14,$M14,$O14,$Q14,$S14,$U14,$W14,$Y14,$AA14,$AC14,$AE14,$AG14)</f>
        <v>57557</v>
      </c>
      <c r="AN14" s="507">
        <f t="shared" ref="AN14:AN24" si="5">SUM($J14,$L14,$N14,$P14,$R14,$T14,$V14,$X14,$Z14,$AB14,$AD14,$AF14,$AH14)</f>
        <v>466.69</v>
      </c>
      <c r="AO14" s="509">
        <f t="shared" ref="AO14:AO24" si="6">SUM(AM14,AN14)</f>
        <v>58023.69</v>
      </c>
      <c r="AP14" s="508">
        <f t="shared" ref="AP14:AP27" si="7">SUM($K14,$M14,$O14,$Q14,$S14,$U14,$W14,$Y14,$AA14,$AC14,$AE14,$AG14)</f>
        <v>0</v>
      </c>
      <c r="AQ14" s="507">
        <f t="shared" ref="AQ14:AQ27" si="8">SUM($L14,$N14,$P14,$R14,$T14,$V14,$X14,$Z14,$AB14,$AD14,$AF14,$AH14)</f>
        <v>0</v>
      </c>
      <c r="AR14" s="509">
        <f t="shared" ref="AR14:AR27" si="9">SUM(AP14,AQ14)</f>
        <v>0</v>
      </c>
      <c r="AS14" s="508">
        <f t="shared" ref="AS14:AS28" si="10">SUM($M14,$O14,$Q14,$S14,$U14,$W14,$Y14,$AA14,$AC14,$AE14,$AG14)</f>
        <v>0</v>
      </c>
      <c r="AT14" s="507">
        <f t="shared" ref="AT14:AT28" si="11">SUM($N14,$P14,$R14,$T14,$V14,$X14,$Z14,$AB14,$AD14,$AF14,$AH14)</f>
        <v>0</v>
      </c>
      <c r="AU14" s="509">
        <f t="shared" ref="AU14:AU27" si="12">SUM(AS14,AT14)</f>
        <v>0</v>
      </c>
      <c r="AV14" s="508">
        <f t="shared" ref="AV14:AV29" si="13">SUM($O14,$Q14,$S14,$U14,$W14,$Y14,$AA14,$AC14,$AE14,$AG14)</f>
        <v>0</v>
      </c>
      <c r="AW14" s="507">
        <f t="shared" ref="AW14:AW29" si="14">SUM($P14,$R14,$T14,$V14,$X14,$Z14,$AB14,$AD14,$AF14,$AH14)</f>
        <v>0</v>
      </c>
      <c r="AX14" s="509">
        <f t="shared" ref="AX14:AX27" si="15">SUM(AV14,AW14)</f>
        <v>0</v>
      </c>
      <c r="AY14" s="508">
        <f t="shared" ref="AY14:AY29" si="16">SUM($Q14,$S14,$U14,$W14,$Y14,$AA14,$AC14,$AE14,$AG14)</f>
        <v>0</v>
      </c>
      <c r="AZ14" s="507">
        <f t="shared" ref="AZ14:AZ29" si="17">SUM($R14,$T14,$V14,$X14,$Z14,$AB14,$AD14,$AF14,$AH14)</f>
        <v>0</v>
      </c>
      <c r="BA14" s="509">
        <f t="shared" ref="BA14:BA27" si="18">SUM(AY14,AZ14)</f>
        <v>0</v>
      </c>
      <c r="BB14" s="508">
        <f t="shared" ref="BB14:BB29" si="19">SUM($S14,$U14,$W14,$Y14,$AA14,$AC14,$AE14,$AG14)</f>
        <v>0</v>
      </c>
      <c r="BC14" s="507">
        <f t="shared" ref="BC14:BC29" si="20">SUM($T14,$V14,$X14,$Z14,$AB14,$AD14,$AF14,$AH14)</f>
        <v>0</v>
      </c>
      <c r="BD14" s="509">
        <f t="shared" ref="BD14:BD27" si="21">SUM(BB14,BC14)</f>
        <v>0</v>
      </c>
      <c r="BE14" s="508">
        <f t="shared" ref="BE14:BE29" si="22">SUM($U14,$W14,$Y14,$AA14,$AC14,$AE14,$AG14)</f>
        <v>0</v>
      </c>
      <c r="BF14" s="507">
        <f t="shared" ref="BF14:BF29" si="23">SUM($V14,$X14,$Z14,$AB14,$AD14,$AF14,$AH14)</f>
        <v>0</v>
      </c>
      <c r="BG14" s="509">
        <f t="shared" ref="BG14:BG27" si="24">SUM(BE14,BF14)</f>
        <v>0</v>
      </c>
      <c r="BH14" s="508">
        <f t="shared" ref="BH14:BH29" si="25">SUM($W14,$Y14,$AA14,$AC14,$AE14,$AG14)</f>
        <v>0</v>
      </c>
      <c r="BI14" s="507">
        <f t="shared" ref="BI14:BI29" si="26">SUM($X14,$Z14,$AB14,$AD14,$AF14,$AH14)</f>
        <v>0</v>
      </c>
      <c r="BJ14" s="509">
        <f t="shared" ref="BJ14:BJ27" si="27">SUM(BH14,BI14)</f>
        <v>0</v>
      </c>
      <c r="BK14" s="508">
        <f t="shared" ref="BK14:BK29" si="28">SUM($Y14,$AA14,$AC14,$AE14,$AG14)</f>
        <v>0</v>
      </c>
      <c r="BL14" s="507">
        <f t="shared" ref="BL14:BL29" si="29">SUM($Z14,$AB14,$AD14,$AF14,$AH14)</f>
        <v>0</v>
      </c>
      <c r="BM14" s="509">
        <f t="shared" ref="BM14:BM27" si="30">SUM(BK14,BL14)</f>
        <v>0</v>
      </c>
      <c r="BN14" s="508">
        <f t="shared" ref="BN14:BN29" si="31">SUM($AA14,$AC14,$AE14,$AG14)</f>
        <v>0</v>
      </c>
      <c r="BO14" s="507">
        <f t="shared" ref="BO14:BO29" si="32">SUM($AB14,$AD14,$AF14,$AH14)</f>
        <v>0</v>
      </c>
      <c r="BP14" s="509">
        <f t="shared" ref="BP14:BP27" si="33">SUM(BN14,BO14)</f>
        <v>0</v>
      </c>
      <c r="BQ14" s="507">
        <f t="shared" ref="BQ14:BQ29" si="34">SUM($AC14,$AE14,$AG14)</f>
        <v>0</v>
      </c>
      <c r="BR14" s="507">
        <f t="shared" ref="BR14:BR29" si="35">SUM($AD14,$AF14,$AH14)</f>
        <v>0</v>
      </c>
      <c r="BS14" s="509">
        <f t="shared" ref="BS14:BS27" si="36">SUM(BQ14,BR14)</f>
        <v>0</v>
      </c>
      <c r="BT14" s="507">
        <f t="shared" ref="BT14:BT29" si="37">SUM($AE14,$AG14)</f>
        <v>0</v>
      </c>
      <c r="BU14" s="507">
        <f t="shared" ref="BU14:BU29" si="38">SUM($AF14,$AH14)</f>
        <v>0</v>
      </c>
      <c r="BV14" s="509">
        <f t="shared" ref="BV14:BV26" si="39">SUM(BT14,BU14)</f>
        <v>0</v>
      </c>
      <c r="BW14" s="507">
        <f t="shared" ref="BW14:BW29" si="40">SUM($AG14)</f>
        <v>0</v>
      </c>
      <c r="BX14" s="507">
        <f t="shared" ref="BX14:BX29" si="41">SUM($AH14)</f>
        <v>0</v>
      </c>
      <c r="BY14" s="509">
        <f t="shared" ref="BY14:BY27" si="42">SUM(BW14,BX14)</f>
        <v>0</v>
      </c>
    </row>
    <row r="15" spans="1:77" ht="13.5">
      <c r="A15" s="500" t="s">
        <v>226</v>
      </c>
      <c r="B15" s="501">
        <v>1498996</v>
      </c>
      <c r="C15" s="502">
        <v>171911</v>
      </c>
      <c r="D15" s="502">
        <v>33338.980000000003</v>
      </c>
      <c r="E15" s="502">
        <f>G15+I15+K15+M15+O15+Q15+S15+U15+W15+Y15+AA15+AC15+AE15+AG15</f>
        <v>799416</v>
      </c>
      <c r="F15" s="502">
        <f>H15+J15+L15+N15+P15+R15+T15+V15+X15+Z15+AB15+AD15+AF15+AH15</f>
        <v>50290.840000000004</v>
      </c>
      <c r="G15" s="502">
        <v>199880</v>
      </c>
      <c r="H15" s="502">
        <v>21567.29</v>
      </c>
      <c r="I15" s="502">
        <v>199880</v>
      </c>
      <c r="J15" s="503">
        <v>15570.89</v>
      </c>
      <c r="K15" s="502">
        <v>199880</v>
      </c>
      <c r="L15" s="502">
        <v>9574.48</v>
      </c>
      <c r="M15" s="502">
        <v>199776</v>
      </c>
      <c r="N15" s="502">
        <v>3578.18</v>
      </c>
      <c r="O15" s="502"/>
      <c r="P15" s="502"/>
      <c r="Q15" s="502"/>
      <c r="R15" s="502"/>
      <c r="S15" s="502"/>
      <c r="T15" s="503"/>
      <c r="U15" s="502"/>
      <c r="V15" s="503"/>
      <c r="W15" s="502"/>
      <c r="X15" s="502"/>
      <c r="Y15" s="504"/>
      <c r="Z15" s="503"/>
      <c r="AA15" s="502"/>
      <c r="AB15" s="505"/>
      <c r="AC15" s="502"/>
      <c r="AD15" s="505"/>
      <c r="AE15" s="502"/>
      <c r="AF15" s="505"/>
      <c r="AG15" s="502"/>
      <c r="AH15" s="505"/>
      <c r="AK15" s="506" t="str">
        <f t="shared" si="3"/>
        <v>WFOŚiGW 37/2005/76/OA/po/P</v>
      </c>
      <c r="AL15" s="507">
        <f t="shared" si="3"/>
        <v>1498996</v>
      </c>
      <c r="AM15" s="508">
        <f t="shared" si="4"/>
        <v>599536</v>
      </c>
      <c r="AN15" s="507">
        <f t="shared" si="5"/>
        <v>28723.55</v>
      </c>
      <c r="AO15" s="509">
        <f t="shared" si="6"/>
        <v>628259.55000000005</v>
      </c>
      <c r="AP15" s="508">
        <f t="shared" si="7"/>
        <v>399656</v>
      </c>
      <c r="AQ15" s="507">
        <f t="shared" si="8"/>
        <v>13152.66</v>
      </c>
      <c r="AR15" s="509">
        <f t="shared" si="9"/>
        <v>412808.66</v>
      </c>
      <c r="AS15" s="508">
        <f t="shared" si="10"/>
        <v>199776</v>
      </c>
      <c r="AT15" s="507">
        <f t="shared" si="11"/>
        <v>3578.18</v>
      </c>
      <c r="AU15" s="509">
        <f t="shared" si="12"/>
        <v>203354.18</v>
      </c>
      <c r="AV15" s="508">
        <f t="shared" si="13"/>
        <v>0</v>
      </c>
      <c r="AW15" s="507">
        <f t="shared" si="14"/>
        <v>0</v>
      </c>
      <c r="AX15" s="509">
        <f t="shared" si="15"/>
        <v>0</v>
      </c>
      <c r="AY15" s="508">
        <f t="shared" si="16"/>
        <v>0</v>
      </c>
      <c r="AZ15" s="507">
        <f t="shared" si="17"/>
        <v>0</v>
      </c>
      <c r="BA15" s="509">
        <f t="shared" si="18"/>
        <v>0</v>
      </c>
      <c r="BB15" s="508">
        <f t="shared" si="19"/>
        <v>0</v>
      </c>
      <c r="BC15" s="507">
        <f t="shared" si="20"/>
        <v>0</v>
      </c>
      <c r="BD15" s="509">
        <f t="shared" si="21"/>
        <v>0</v>
      </c>
      <c r="BE15" s="508">
        <f t="shared" si="22"/>
        <v>0</v>
      </c>
      <c r="BF15" s="507">
        <f t="shared" si="23"/>
        <v>0</v>
      </c>
      <c r="BG15" s="509">
        <f t="shared" si="24"/>
        <v>0</v>
      </c>
      <c r="BH15" s="508">
        <f t="shared" si="25"/>
        <v>0</v>
      </c>
      <c r="BI15" s="507">
        <f t="shared" si="26"/>
        <v>0</v>
      </c>
      <c r="BJ15" s="509">
        <f t="shared" si="27"/>
        <v>0</v>
      </c>
      <c r="BK15" s="508">
        <f t="shared" si="28"/>
        <v>0</v>
      </c>
      <c r="BL15" s="507">
        <f t="shared" si="29"/>
        <v>0</v>
      </c>
      <c r="BM15" s="509">
        <f t="shared" si="30"/>
        <v>0</v>
      </c>
      <c r="BN15" s="508">
        <f t="shared" si="31"/>
        <v>0</v>
      </c>
      <c r="BO15" s="507">
        <f t="shared" si="32"/>
        <v>0</v>
      </c>
      <c r="BP15" s="509">
        <f t="shared" si="33"/>
        <v>0</v>
      </c>
      <c r="BQ15" s="507">
        <f t="shared" si="34"/>
        <v>0</v>
      </c>
      <c r="BR15" s="507">
        <f t="shared" si="35"/>
        <v>0</v>
      </c>
      <c r="BS15" s="509">
        <f t="shared" si="36"/>
        <v>0</v>
      </c>
      <c r="BT15" s="507">
        <f t="shared" si="37"/>
        <v>0</v>
      </c>
      <c r="BU15" s="507">
        <f t="shared" si="38"/>
        <v>0</v>
      </c>
      <c r="BV15" s="509">
        <f t="shared" si="39"/>
        <v>0</v>
      </c>
      <c r="BW15" s="507">
        <f t="shared" si="40"/>
        <v>0</v>
      </c>
      <c r="BX15" s="507">
        <f t="shared" si="41"/>
        <v>0</v>
      </c>
      <c r="BY15" s="509">
        <f t="shared" si="42"/>
        <v>0</v>
      </c>
    </row>
    <row r="16" spans="1:77" ht="13.5">
      <c r="A16" s="500" t="s">
        <v>227</v>
      </c>
      <c r="B16" s="501">
        <v>138349</v>
      </c>
      <c r="C16" s="502">
        <v>15372</v>
      </c>
      <c r="D16" s="502">
        <v>3860.66</v>
      </c>
      <c r="E16" s="502">
        <f>G16+I16+K16+M16+O16+Q16+S16+U16+W16+Y16+AA16+AC16+AE16+AG16</f>
        <v>103761</v>
      </c>
      <c r="F16" s="502">
        <f>H16+J16+L16+N16+P16+R16+T16+V16+X16+Z16+AB16+AD16+AF16+AH16</f>
        <v>10894.69</v>
      </c>
      <c r="G16" s="502">
        <v>15372</v>
      </c>
      <c r="H16" s="503">
        <v>2939.91</v>
      </c>
      <c r="I16" s="502">
        <v>15372</v>
      </c>
      <c r="J16" s="503">
        <v>2478.75</v>
      </c>
      <c r="K16" s="502">
        <v>15372</v>
      </c>
      <c r="L16" s="502">
        <v>2017.59</v>
      </c>
      <c r="M16" s="502">
        <v>15372</v>
      </c>
      <c r="N16" s="503">
        <v>1556.43</v>
      </c>
      <c r="O16" s="502">
        <v>15372</v>
      </c>
      <c r="P16" s="502">
        <v>1095.27</v>
      </c>
      <c r="Q16" s="502">
        <v>15372</v>
      </c>
      <c r="R16" s="502">
        <v>634.11</v>
      </c>
      <c r="S16" s="502">
        <v>11529</v>
      </c>
      <c r="T16" s="503">
        <v>172.63</v>
      </c>
      <c r="U16" s="502"/>
      <c r="V16" s="503"/>
      <c r="W16" s="502"/>
      <c r="X16" s="502"/>
      <c r="Y16" s="504"/>
      <c r="Z16" s="503"/>
      <c r="AA16" s="502"/>
      <c r="AB16" s="505"/>
      <c r="AC16" s="502"/>
      <c r="AD16" s="505"/>
      <c r="AE16" s="502"/>
      <c r="AF16" s="505"/>
      <c r="AG16" s="502"/>
      <c r="AH16" s="505"/>
      <c r="AK16" s="506" t="str">
        <f t="shared" si="3"/>
        <v>WFOŚiGW 52/2008/76/OZ/po/P</v>
      </c>
      <c r="AL16" s="507">
        <f t="shared" si="3"/>
        <v>138349</v>
      </c>
      <c r="AM16" s="508">
        <f t="shared" si="4"/>
        <v>88389</v>
      </c>
      <c r="AN16" s="507">
        <f t="shared" si="5"/>
        <v>7954.7800000000007</v>
      </c>
      <c r="AO16" s="509">
        <f t="shared" si="6"/>
        <v>96343.78</v>
      </c>
      <c r="AP16" s="508">
        <f t="shared" si="7"/>
        <v>73017</v>
      </c>
      <c r="AQ16" s="507">
        <f t="shared" si="8"/>
        <v>5476.03</v>
      </c>
      <c r="AR16" s="509">
        <f t="shared" si="9"/>
        <v>78493.03</v>
      </c>
      <c r="AS16" s="508">
        <f t="shared" si="10"/>
        <v>57645</v>
      </c>
      <c r="AT16" s="507">
        <f t="shared" si="11"/>
        <v>3458.44</v>
      </c>
      <c r="AU16" s="509">
        <f t="shared" si="12"/>
        <v>61103.44</v>
      </c>
      <c r="AV16" s="508">
        <f t="shared" si="13"/>
        <v>42273</v>
      </c>
      <c r="AW16" s="507">
        <f t="shared" si="14"/>
        <v>1902.0100000000002</v>
      </c>
      <c r="AX16" s="509">
        <f t="shared" si="15"/>
        <v>44175.01</v>
      </c>
      <c r="AY16" s="508">
        <f t="shared" si="16"/>
        <v>26901</v>
      </c>
      <c r="AZ16" s="507">
        <f t="shared" si="17"/>
        <v>806.74</v>
      </c>
      <c r="BA16" s="509">
        <f t="shared" si="18"/>
        <v>27707.74</v>
      </c>
      <c r="BB16" s="508">
        <f t="shared" si="19"/>
        <v>11529</v>
      </c>
      <c r="BC16" s="507">
        <f t="shared" si="20"/>
        <v>172.63</v>
      </c>
      <c r="BD16" s="509">
        <f t="shared" si="21"/>
        <v>11701.63</v>
      </c>
      <c r="BE16" s="508">
        <f t="shared" si="22"/>
        <v>0</v>
      </c>
      <c r="BF16" s="507">
        <f t="shared" si="23"/>
        <v>0</v>
      </c>
      <c r="BG16" s="509">
        <f t="shared" si="24"/>
        <v>0</v>
      </c>
      <c r="BH16" s="508">
        <f t="shared" si="25"/>
        <v>0</v>
      </c>
      <c r="BI16" s="507">
        <f t="shared" si="26"/>
        <v>0</v>
      </c>
      <c r="BJ16" s="509">
        <f t="shared" si="27"/>
        <v>0</v>
      </c>
      <c r="BK16" s="508">
        <f t="shared" si="28"/>
        <v>0</v>
      </c>
      <c r="BL16" s="507">
        <f t="shared" si="29"/>
        <v>0</v>
      </c>
      <c r="BM16" s="509">
        <f t="shared" si="30"/>
        <v>0</v>
      </c>
      <c r="BN16" s="508">
        <f t="shared" si="31"/>
        <v>0</v>
      </c>
      <c r="BO16" s="507">
        <f t="shared" si="32"/>
        <v>0</v>
      </c>
      <c r="BP16" s="509">
        <f t="shared" si="33"/>
        <v>0</v>
      </c>
      <c r="BQ16" s="507">
        <f t="shared" si="34"/>
        <v>0</v>
      </c>
      <c r="BR16" s="507">
        <f t="shared" si="35"/>
        <v>0</v>
      </c>
      <c r="BS16" s="509">
        <f t="shared" si="36"/>
        <v>0</v>
      </c>
      <c r="BT16" s="507">
        <f t="shared" si="37"/>
        <v>0</v>
      </c>
      <c r="BU16" s="507">
        <f t="shared" si="38"/>
        <v>0</v>
      </c>
      <c r="BV16" s="509">
        <f t="shared" si="39"/>
        <v>0</v>
      </c>
      <c r="BW16" s="507">
        <f t="shared" si="40"/>
        <v>0</v>
      </c>
      <c r="BX16" s="507">
        <f t="shared" si="41"/>
        <v>0</v>
      </c>
      <c r="BY16" s="509">
        <f t="shared" si="42"/>
        <v>0</v>
      </c>
    </row>
    <row r="17" spans="1:77" ht="13.5">
      <c r="A17" s="500" t="s">
        <v>229</v>
      </c>
      <c r="B17" s="501">
        <v>499709</v>
      </c>
      <c r="C17" s="502">
        <v>47500</v>
      </c>
      <c r="D17" s="502">
        <v>12236.21</v>
      </c>
      <c r="E17" s="502">
        <f t="shared" ref="E17:F27" si="43">G17+I17+K17+M17+O17+Q17+S17+U17+W17+Y17+AA17+AC17+AE17+AG17</f>
        <v>332500</v>
      </c>
      <c r="F17" s="502">
        <f t="shared" si="43"/>
        <v>35847.75</v>
      </c>
      <c r="G17" s="502">
        <v>47500</v>
      </c>
      <c r="H17" s="503">
        <v>9396.11</v>
      </c>
      <c r="I17" s="502">
        <v>47500</v>
      </c>
      <c r="J17" s="502">
        <v>7971.11</v>
      </c>
      <c r="K17" s="502">
        <v>47500</v>
      </c>
      <c r="L17" s="502">
        <v>6546.1</v>
      </c>
      <c r="M17" s="502">
        <v>47500</v>
      </c>
      <c r="N17" s="503">
        <v>5121.12</v>
      </c>
      <c r="O17" s="502">
        <v>47500</v>
      </c>
      <c r="P17" s="502">
        <v>3696.1</v>
      </c>
      <c r="Q17" s="502">
        <v>47500</v>
      </c>
      <c r="R17" s="502">
        <v>2271.1</v>
      </c>
      <c r="S17" s="502">
        <v>47500</v>
      </c>
      <c r="T17" s="503">
        <v>846.11</v>
      </c>
      <c r="U17" s="502"/>
      <c r="V17" s="503"/>
      <c r="W17" s="502"/>
      <c r="X17" s="502"/>
      <c r="Y17" s="504"/>
      <c r="Z17" s="503"/>
      <c r="AA17" s="502"/>
      <c r="AB17" s="505"/>
      <c r="AC17" s="502"/>
      <c r="AD17" s="505"/>
      <c r="AE17" s="502"/>
      <c r="AF17" s="505"/>
      <c r="AG17" s="502"/>
      <c r="AH17" s="505"/>
      <c r="AK17" s="506" t="str">
        <f t="shared" si="3"/>
        <v>WFOŚiGW 57/2007/76/OA/oe/P</v>
      </c>
      <c r="AL17" s="507">
        <f t="shared" si="3"/>
        <v>499709</v>
      </c>
      <c r="AM17" s="508">
        <f t="shared" si="4"/>
        <v>285000</v>
      </c>
      <c r="AN17" s="507">
        <f t="shared" si="5"/>
        <v>26451.639999999996</v>
      </c>
      <c r="AO17" s="509">
        <f t="shared" si="6"/>
        <v>311451.64</v>
      </c>
      <c r="AP17" s="508">
        <f t="shared" si="7"/>
        <v>237500</v>
      </c>
      <c r="AQ17" s="507">
        <f t="shared" si="8"/>
        <v>18480.530000000002</v>
      </c>
      <c r="AR17" s="509">
        <f t="shared" si="9"/>
        <v>255980.53</v>
      </c>
      <c r="AS17" s="508">
        <f t="shared" si="10"/>
        <v>190000</v>
      </c>
      <c r="AT17" s="507">
        <f t="shared" si="11"/>
        <v>11934.43</v>
      </c>
      <c r="AU17" s="509">
        <f t="shared" si="12"/>
        <v>201934.43</v>
      </c>
      <c r="AV17" s="508">
        <f t="shared" si="13"/>
        <v>142500</v>
      </c>
      <c r="AW17" s="507">
        <f t="shared" si="14"/>
        <v>6813.3099999999995</v>
      </c>
      <c r="AX17" s="509">
        <f t="shared" si="15"/>
        <v>149313.31</v>
      </c>
      <c r="AY17" s="508">
        <f t="shared" si="16"/>
        <v>95000</v>
      </c>
      <c r="AZ17" s="507">
        <f t="shared" si="17"/>
        <v>3117.21</v>
      </c>
      <c r="BA17" s="509">
        <f t="shared" si="18"/>
        <v>98117.21</v>
      </c>
      <c r="BB17" s="508">
        <f t="shared" si="19"/>
        <v>47500</v>
      </c>
      <c r="BC17" s="507">
        <f t="shared" si="20"/>
        <v>846.11</v>
      </c>
      <c r="BD17" s="509">
        <f t="shared" si="21"/>
        <v>48346.11</v>
      </c>
      <c r="BE17" s="508">
        <f t="shared" si="22"/>
        <v>0</v>
      </c>
      <c r="BF17" s="507">
        <f t="shared" si="23"/>
        <v>0</v>
      </c>
      <c r="BG17" s="509">
        <f t="shared" si="24"/>
        <v>0</v>
      </c>
      <c r="BH17" s="508">
        <f t="shared" si="25"/>
        <v>0</v>
      </c>
      <c r="BI17" s="507">
        <f t="shared" si="26"/>
        <v>0</v>
      </c>
      <c r="BJ17" s="509">
        <f t="shared" si="27"/>
        <v>0</v>
      </c>
      <c r="BK17" s="508">
        <f t="shared" si="28"/>
        <v>0</v>
      </c>
      <c r="BL17" s="507">
        <f t="shared" si="29"/>
        <v>0</v>
      </c>
      <c r="BM17" s="509">
        <f t="shared" si="30"/>
        <v>0</v>
      </c>
      <c r="BN17" s="508">
        <f t="shared" si="31"/>
        <v>0</v>
      </c>
      <c r="BO17" s="507">
        <f t="shared" si="32"/>
        <v>0</v>
      </c>
      <c r="BP17" s="509">
        <f t="shared" si="33"/>
        <v>0</v>
      </c>
      <c r="BQ17" s="507">
        <f t="shared" si="34"/>
        <v>0</v>
      </c>
      <c r="BR17" s="507">
        <f t="shared" si="35"/>
        <v>0</v>
      </c>
      <c r="BS17" s="509">
        <f t="shared" si="36"/>
        <v>0</v>
      </c>
      <c r="BT17" s="507">
        <f t="shared" si="37"/>
        <v>0</v>
      </c>
      <c r="BU17" s="507">
        <f t="shared" si="38"/>
        <v>0</v>
      </c>
      <c r="BV17" s="509">
        <f t="shared" si="39"/>
        <v>0</v>
      </c>
      <c r="BW17" s="507">
        <f t="shared" si="40"/>
        <v>0</v>
      </c>
      <c r="BX17" s="507">
        <f t="shared" si="41"/>
        <v>0</v>
      </c>
      <c r="BY17" s="509">
        <f t="shared" si="42"/>
        <v>0</v>
      </c>
    </row>
    <row r="18" spans="1:77" ht="13.5">
      <c r="A18" s="510" t="s">
        <v>231</v>
      </c>
      <c r="B18" s="511">
        <f>384567-76900</f>
        <v>307667</v>
      </c>
      <c r="C18" s="512">
        <v>38000</v>
      </c>
      <c r="D18" s="512">
        <v>833.8</v>
      </c>
      <c r="E18" s="502">
        <f t="shared" si="43"/>
        <v>38000</v>
      </c>
      <c r="F18" s="502">
        <f t="shared" si="43"/>
        <v>93.09</v>
      </c>
      <c r="G18" s="512">
        <v>38000</v>
      </c>
      <c r="H18" s="513">
        <v>93.09</v>
      </c>
      <c r="I18" s="502"/>
      <c r="J18" s="502"/>
      <c r="K18" s="502"/>
      <c r="L18" s="502"/>
      <c r="M18" s="503"/>
      <c r="N18" s="503"/>
      <c r="O18" s="502"/>
      <c r="P18" s="502"/>
      <c r="Q18" s="502"/>
      <c r="R18" s="502"/>
      <c r="S18" s="502"/>
      <c r="T18" s="503"/>
      <c r="U18" s="502"/>
      <c r="V18" s="503"/>
      <c r="W18" s="502"/>
      <c r="X18" s="502"/>
      <c r="Y18" s="504"/>
      <c r="Z18" s="503"/>
      <c r="AA18" s="502"/>
      <c r="AB18" s="505"/>
      <c r="AC18" s="502"/>
      <c r="AD18" s="505"/>
      <c r="AE18" s="502"/>
      <c r="AF18" s="505"/>
      <c r="AG18" s="502"/>
      <c r="AH18" s="505"/>
      <c r="AK18" s="506" t="str">
        <f t="shared" si="3"/>
        <v>WFOŚiGW 174/2003/76/OA/no/P</v>
      </c>
      <c r="AL18" s="507">
        <f t="shared" si="3"/>
        <v>307667</v>
      </c>
      <c r="AM18" s="508">
        <f t="shared" si="4"/>
        <v>0</v>
      </c>
      <c r="AN18" s="507">
        <f t="shared" si="5"/>
        <v>0</v>
      </c>
      <c r="AO18" s="509">
        <f t="shared" si="6"/>
        <v>0</v>
      </c>
      <c r="AP18" s="508">
        <f t="shared" si="7"/>
        <v>0</v>
      </c>
      <c r="AQ18" s="507">
        <f t="shared" si="8"/>
        <v>0</v>
      </c>
      <c r="AR18" s="509">
        <f t="shared" si="9"/>
        <v>0</v>
      </c>
      <c r="AS18" s="508">
        <f t="shared" si="10"/>
        <v>0</v>
      </c>
      <c r="AT18" s="507">
        <f t="shared" si="11"/>
        <v>0</v>
      </c>
      <c r="AU18" s="509">
        <f t="shared" si="12"/>
        <v>0</v>
      </c>
      <c r="AV18" s="508">
        <f t="shared" si="13"/>
        <v>0</v>
      </c>
      <c r="AW18" s="507">
        <f t="shared" si="14"/>
        <v>0</v>
      </c>
      <c r="AX18" s="509">
        <f t="shared" si="15"/>
        <v>0</v>
      </c>
      <c r="AY18" s="508">
        <f t="shared" si="16"/>
        <v>0</v>
      </c>
      <c r="AZ18" s="507">
        <f t="shared" si="17"/>
        <v>0</v>
      </c>
      <c r="BA18" s="509">
        <f t="shared" si="18"/>
        <v>0</v>
      </c>
      <c r="BB18" s="508">
        <f t="shared" si="19"/>
        <v>0</v>
      </c>
      <c r="BC18" s="507">
        <f t="shared" si="20"/>
        <v>0</v>
      </c>
      <c r="BD18" s="509">
        <f t="shared" si="21"/>
        <v>0</v>
      </c>
      <c r="BE18" s="508">
        <f t="shared" si="22"/>
        <v>0</v>
      </c>
      <c r="BF18" s="507">
        <f t="shared" si="23"/>
        <v>0</v>
      </c>
      <c r="BG18" s="509">
        <f t="shared" si="24"/>
        <v>0</v>
      </c>
      <c r="BH18" s="508">
        <f t="shared" si="25"/>
        <v>0</v>
      </c>
      <c r="BI18" s="507">
        <f t="shared" si="26"/>
        <v>0</v>
      </c>
      <c r="BJ18" s="509">
        <f t="shared" si="27"/>
        <v>0</v>
      </c>
      <c r="BK18" s="508">
        <f t="shared" si="28"/>
        <v>0</v>
      </c>
      <c r="BL18" s="507">
        <f t="shared" si="29"/>
        <v>0</v>
      </c>
      <c r="BM18" s="509">
        <f t="shared" si="30"/>
        <v>0</v>
      </c>
      <c r="BN18" s="508">
        <f t="shared" si="31"/>
        <v>0</v>
      </c>
      <c r="BO18" s="507">
        <f t="shared" si="32"/>
        <v>0</v>
      </c>
      <c r="BP18" s="509">
        <f t="shared" si="33"/>
        <v>0</v>
      </c>
      <c r="BQ18" s="507">
        <f t="shared" si="34"/>
        <v>0</v>
      </c>
      <c r="BR18" s="507">
        <f t="shared" si="35"/>
        <v>0</v>
      </c>
      <c r="BS18" s="509">
        <f t="shared" si="36"/>
        <v>0</v>
      </c>
      <c r="BT18" s="507">
        <f t="shared" si="37"/>
        <v>0</v>
      </c>
      <c r="BU18" s="507">
        <f t="shared" si="38"/>
        <v>0</v>
      </c>
      <c r="BV18" s="509">
        <f t="shared" si="39"/>
        <v>0</v>
      </c>
      <c r="BW18" s="507">
        <f t="shared" si="40"/>
        <v>0</v>
      </c>
      <c r="BX18" s="507">
        <f t="shared" si="41"/>
        <v>0</v>
      </c>
      <c r="BY18" s="509">
        <f t="shared" si="42"/>
        <v>0</v>
      </c>
    </row>
    <row r="19" spans="1:77" ht="13.5">
      <c r="A19" s="510" t="s">
        <v>233</v>
      </c>
      <c r="B19" s="511">
        <v>366174</v>
      </c>
      <c r="C19" s="512">
        <v>37000</v>
      </c>
      <c r="D19" s="512">
        <v>10239.11</v>
      </c>
      <c r="E19" s="502">
        <f t="shared" si="43"/>
        <v>292174</v>
      </c>
      <c r="F19" s="502">
        <f t="shared" si="43"/>
        <v>32212.739999999998</v>
      </c>
      <c r="G19" s="512">
        <v>37000</v>
      </c>
      <c r="H19" s="513">
        <v>8025.28</v>
      </c>
      <c r="I19" s="512">
        <v>37000</v>
      </c>
      <c r="J19" s="502">
        <v>6915.28</v>
      </c>
      <c r="K19" s="512">
        <v>35087</v>
      </c>
      <c r="L19" s="502">
        <v>5829.18</v>
      </c>
      <c r="M19" s="512">
        <v>40686</v>
      </c>
      <c r="N19" s="503">
        <v>4678.88</v>
      </c>
      <c r="O19" s="502">
        <v>40686</v>
      </c>
      <c r="P19" s="502">
        <v>3458.35</v>
      </c>
      <c r="Q19" s="502">
        <v>40686</v>
      </c>
      <c r="R19" s="502">
        <v>2237.7199999999998</v>
      </c>
      <c r="S19" s="502">
        <v>40686</v>
      </c>
      <c r="T19" s="503">
        <v>1017.19</v>
      </c>
      <c r="U19" s="502">
        <v>20343</v>
      </c>
      <c r="V19" s="503">
        <v>50.86</v>
      </c>
      <c r="W19" s="502"/>
      <c r="X19" s="502"/>
      <c r="Y19" s="504"/>
      <c r="Z19" s="503"/>
      <c r="AA19" s="502"/>
      <c r="AB19" s="505"/>
      <c r="AC19" s="502"/>
      <c r="AD19" s="505"/>
      <c r="AE19" s="502"/>
      <c r="AF19" s="505"/>
      <c r="AG19" s="502"/>
      <c r="AH19" s="505"/>
      <c r="AK19" s="506" t="str">
        <f t="shared" si="3"/>
        <v>WFOŚiGW 194/2008/76/OA/no/P</v>
      </c>
      <c r="AL19" s="507">
        <f t="shared" si="3"/>
        <v>366174</v>
      </c>
      <c r="AM19" s="508">
        <f t="shared" si="4"/>
        <v>255174</v>
      </c>
      <c r="AN19" s="507">
        <f t="shared" si="5"/>
        <v>24187.46</v>
      </c>
      <c r="AO19" s="509">
        <f t="shared" si="6"/>
        <v>279361.46000000002</v>
      </c>
      <c r="AP19" s="508">
        <f t="shared" si="7"/>
        <v>218174</v>
      </c>
      <c r="AQ19" s="507">
        <f t="shared" si="8"/>
        <v>17272.18</v>
      </c>
      <c r="AR19" s="509">
        <f t="shared" si="9"/>
        <v>235446.18</v>
      </c>
      <c r="AS19" s="508">
        <f t="shared" si="10"/>
        <v>183087</v>
      </c>
      <c r="AT19" s="507">
        <f t="shared" si="11"/>
        <v>11443</v>
      </c>
      <c r="AU19" s="509">
        <f t="shared" si="12"/>
        <v>194530</v>
      </c>
      <c r="AV19" s="508">
        <f t="shared" si="13"/>
        <v>142401</v>
      </c>
      <c r="AW19" s="507">
        <f t="shared" si="14"/>
        <v>6764.12</v>
      </c>
      <c r="AX19" s="509">
        <f t="shared" si="15"/>
        <v>149165.12</v>
      </c>
      <c r="AY19" s="508">
        <f t="shared" si="16"/>
        <v>101715</v>
      </c>
      <c r="AZ19" s="507">
        <f t="shared" si="17"/>
        <v>3305.77</v>
      </c>
      <c r="BA19" s="509">
        <f t="shared" si="18"/>
        <v>105020.77</v>
      </c>
      <c r="BB19" s="508">
        <f t="shared" si="19"/>
        <v>61029</v>
      </c>
      <c r="BC19" s="507">
        <f t="shared" si="20"/>
        <v>1068.05</v>
      </c>
      <c r="BD19" s="509">
        <f t="shared" si="21"/>
        <v>62097.05</v>
      </c>
      <c r="BE19" s="508">
        <f t="shared" si="22"/>
        <v>20343</v>
      </c>
      <c r="BF19" s="507">
        <f t="shared" si="23"/>
        <v>50.86</v>
      </c>
      <c r="BG19" s="509">
        <f t="shared" si="24"/>
        <v>20393.86</v>
      </c>
      <c r="BH19" s="508">
        <f t="shared" si="25"/>
        <v>0</v>
      </c>
      <c r="BI19" s="507">
        <f t="shared" si="26"/>
        <v>0</v>
      </c>
      <c r="BJ19" s="509">
        <f t="shared" si="27"/>
        <v>0</v>
      </c>
      <c r="BK19" s="508">
        <f t="shared" si="28"/>
        <v>0</v>
      </c>
      <c r="BL19" s="507">
        <f t="shared" si="29"/>
        <v>0</v>
      </c>
      <c r="BM19" s="509">
        <f t="shared" si="30"/>
        <v>0</v>
      </c>
      <c r="BN19" s="508">
        <f t="shared" si="31"/>
        <v>0</v>
      </c>
      <c r="BO19" s="507">
        <f t="shared" si="32"/>
        <v>0</v>
      </c>
      <c r="BP19" s="509">
        <f t="shared" si="33"/>
        <v>0</v>
      </c>
      <c r="BQ19" s="507">
        <f t="shared" si="34"/>
        <v>0</v>
      </c>
      <c r="BR19" s="507">
        <f t="shared" si="35"/>
        <v>0</v>
      </c>
      <c r="BS19" s="509">
        <f t="shared" si="36"/>
        <v>0</v>
      </c>
      <c r="BT19" s="507">
        <f t="shared" si="37"/>
        <v>0</v>
      </c>
      <c r="BU19" s="507">
        <f t="shared" si="38"/>
        <v>0</v>
      </c>
      <c r="BV19" s="509">
        <f t="shared" si="39"/>
        <v>0</v>
      </c>
      <c r="BW19" s="507">
        <f t="shared" si="40"/>
        <v>0</v>
      </c>
      <c r="BX19" s="507">
        <f t="shared" si="41"/>
        <v>0</v>
      </c>
      <c r="BY19" s="509">
        <f t="shared" si="42"/>
        <v>0</v>
      </c>
    </row>
    <row r="20" spans="1:77" ht="13.5">
      <c r="A20" s="510" t="s">
        <v>235</v>
      </c>
      <c r="B20" s="511">
        <v>562761</v>
      </c>
      <c r="C20" s="512">
        <v>62532</v>
      </c>
      <c r="D20" s="512">
        <v>10994.41</v>
      </c>
      <c r="E20" s="502">
        <f t="shared" si="43"/>
        <v>265734</v>
      </c>
      <c r="F20" s="502">
        <f t="shared" si="43"/>
        <v>17876.870000000003</v>
      </c>
      <c r="G20" s="512">
        <v>62532</v>
      </c>
      <c r="H20" s="513">
        <v>7249</v>
      </c>
      <c r="I20" s="512">
        <v>62532</v>
      </c>
      <c r="J20" s="502">
        <v>5373.05</v>
      </c>
      <c r="K20" s="512">
        <v>62532</v>
      </c>
      <c r="L20" s="502">
        <v>3516.63</v>
      </c>
      <c r="M20" s="512">
        <v>62532</v>
      </c>
      <c r="N20" s="503">
        <v>1621.13</v>
      </c>
      <c r="O20" s="502">
        <v>15606</v>
      </c>
      <c r="P20" s="502">
        <v>117.06</v>
      </c>
      <c r="Q20" s="502"/>
      <c r="R20" s="502"/>
      <c r="S20" s="502"/>
      <c r="T20" s="503"/>
      <c r="U20" s="502"/>
      <c r="V20" s="503"/>
      <c r="W20" s="502"/>
      <c r="X20" s="502"/>
      <c r="Y20" s="504"/>
      <c r="Z20" s="503"/>
      <c r="AA20" s="502"/>
      <c r="AB20" s="505"/>
      <c r="AC20" s="502"/>
      <c r="AD20" s="505"/>
      <c r="AE20" s="502"/>
      <c r="AF20" s="505"/>
      <c r="AG20" s="502"/>
      <c r="AH20" s="505"/>
      <c r="AK20" s="506" t="str">
        <f t="shared" si="3"/>
        <v>WFOŚiGW 260/2005/76/OA/oe/P</v>
      </c>
      <c r="AL20" s="507">
        <f t="shared" si="3"/>
        <v>562761</v>
      </c>
      <c r="AM20" s="508">
        <f t="shared" si="4"/>
        <v>203202</v>
      </c>
      <c r="AN20" s="507">
        <f t="shared" si="5"/>
        <v>10627.87</v>
      </c>
      <c r="AO20" s="509">
        <f t="shared" si="6"/>
        <v>213829.87</v>
      </c>
      <c r="AP20" s="508">
        <f t="shared" si="7"/>
        <v>140670</v>
      </c>
      <c r="AQ20" s="507">
        <f t="shared" si="8"/>
        <v>5254.8200000000006</v>
      </c>
      <c r="AR20" s="509">
        <f t="shared" si="9"/>
        <v>145924.82</v>
      </c>
      <c r="AS20" s="508">
        <f t="shared" si="10"/>
        <v>78138</v>
      </c>
      <c r="AT20" s="507">
        <f t="shared" si="11"/>
        <v>1738.19</v>
      </c>
      <c r="AU20" s="509">
        <f t="shared" si="12"/>
        <v>79876.19</v>
      </c>
      <c r="AV20" s="508">
        <f t="shared" si="13"/>
        <v>15606</v>
      </c>
      <c r="AW20" s="507">
        <f t="shared" si="14"/>
        <v>117.06</v>
      </c>
      <c r="AX20" s="509">
        <f t="shared" si="15"/>
        <v>15723.06</v>
      </c>
      <c r="AY20" s="508">
        <f t="shared" si="16"/>
        <v>0</v>
      </c>
      <c r="AZ20" s="507">
        <f t="shared" si="17"/>
        <v>0</v>
      </c>
      <c r="BA20" s="509">
        <f t="shared" si="18"/>
        <v>0</v>
      </c>
      <c r="BB20" s="508">
        <f t="shared" si="19"/>
        <v>0</v>
      </c>
      <c r="BC20" s="507">
        <f t="shared" si="20"/>
        <v>0</v>
      </c>
      <c r="BD20" s="509">
        <f t="shared" si="21"/>
        <v>0</v>
      </c>
      <c r="BE20" s="508">
        <f t="shared" si="22"/>
        <v>0</v>
      </c>
      <c r="BF20" s="507">
        <f t="shared" si="23"/>
        <v>0</v>
      </c>
      <c r="BG20" s="509">
        <f t="shared" si="24"/>
        <v>0</v>
      </c>
      <c r="BH20" s="508">
        <f t="shared" si="25"/>
        <v>0</v>
      </c>
      <c r="BI20" s="507">
        <f t="shared" si="26"/>
        <v>0</v>
      </c>
      <c r="BJ20" s="509">
        <f t="shared" si="27"/>
        <v>0</v>
      </c>
      <c r="BK20" s="508">
        <f t="shared" si="28"/>
        <v>0</v>
      </c>
      <c r="BL20" s="507">
        <f t="shared" si="29"/>
        <v>0</v>
      </c>
      <c r="BM20" s="509">
        <f t="shared" si="30"/>
        <v>0</v>
      </c>
      <c r="BN20" s="508">
        <f t="shared" si="31"/>
        <v>0</v>
      </c>
      <c r="BO20" s="507">
        <f t="shared" si="32"/>
        <v>0</v>
      </c>
      <c r="BP20" s="509">
        <f t="shared" si="33"/>
        <v>0</v>
      </c>
      <c r="BQ20" s="507">
        <f t="shared" si="34"/>
        <v>0</v>
      </c>
      <c r="BR20" s="507">
        <f t="shared" si="35"/>
        <v>0</v>
      </c>
      <c r="BS20" s="509">
        <f t="shared" si="36"/>
        <v>0</v>
      </c>
      <c r="BT20" s="507">
        <f t="shared" si="37"/>
        <v>0</v>
      </c>
      <c r="BU20" s="507">
        <f t="shared" si="38"/>
        <v>0</v>
      </c>
      <c r="BV20" s="509">
        <f t="shared" si="39"/>
        <v>0</v>
      </c>
      <c r="BW20" s="507">
        <f t="shared" si="40"/>
        <v>0</v>
      </c>
      <c r="BX20" s="507">
        <f t="shared" si="41"/>
        <v>0</v>
      </c>
      <c r="BY20" s="509">
        <f t="shared" si="42"/>
        <v>0</v>
      </c>
    </row>
    <row r="21" spans="1:77" ht="13.5">
      <c r="A21" s="500" t="s">
        <v>237</v>
      </c>
      <c r="B21" s="501">
        <f>1667886-750548</f>
        <v>917338</v>
      </c>
      <c r="C21" s="502">
        <v>162720</v>
      </c>
      <c r="D21" s="502">
        <v>18197.599999999999</v>
      </c>
      <c r="E21" s="502">
        <f t="shared" si="43"/>
        <v>347817.3</v>
      </c>
      <c r="F21" s="502">
        <f t="shared" si="43"/>
        <v>12204.22</v>
      </c>
      <c r="G21" s="502">
        <v>162720</v>
      </c>
      <c r="H21" s="503">
        <v>8468.32</v>
      </c>
      <c r="I21" s="502">
        <v>162720</v>
      </c>
      <c r="J21" s="502">
        <v>3586.72</v>
      </c>
      <c r="K21" s="502">
        <v>22377.3</v>
      </c>
      <c r="L21" s="502">
        <v>149.18</v>
      </c>
      <c r="M21" s="503"/>
      <c r="N21" s="503"/>
      <c r="O21" s="502"/>
      <c r="P21" s="502"/>
      <c r="Q21" s="502"/>
      <c r="R21" s="502"/>
      <c r="S21" s="502"/>
      <c r="T21" s="503"/>
      <c r="U21" s="502"/>
      <c r="V21" s="503"/>
      <c r="W21" s="502"/>
      <c r="X21" s="502"/>
      <c r="Y21" s="504"/>
      <c r="Z21" s="503"/>
      <c r="AA21" s="502"/>
      <c r="AB21" s="505"/>
      <c r="AC21" s="502"/>
      <c r="AD21" s="505"/>
      <c r="AE21" s="502"/>
      <c r="AF21" s="505"/>
      <c r="AG21" s="502"/>
      <c r="AH21" s="505"/>
      <c r="AK21" s="506" t="str">
        <f t="shared" si="3"/>
        <v>WFOŚiGW 302/2006/76/OA/po/P</v>
      </c>
      <c r="AL21" s="507">
        <f t="shared" si="3"/>
        <v>917338</v>
      </c>
      <c r="AM21" s="508">
        <f t="shared" si="4"/>
        <v>185097.3</v>
      </c>
      <c r="AN21" s="507">
        <f t="shared" si="5"/>
        <v>3735.8999999999996</v>
      </c>
      <c r="AO21" s="509">
        <f t="shared" si="6"/>
        <v>188833.19999999998</v>
      </c>
      <c r="AP21" s="508">
        <f t="shared" si="7"/>
        <v>22377.3</v>
      </c>
      <c r="AQ21" s="507">
        <f t="shared" si="8"/>
        <v>149.18</v>
      </c>
      <c r="AR21" s="509">
        <f t="shared" si="9"/>
        <v>22526.48</v>
      </c>
      <c r="AS21" s="508">
        <f t="shared" si="10"/>
        <v>0</v>
      </c>
      <c r="AT21" s="507">
        <f t="shared" si="11"/>
        <v>0</v>
      </c>
      <c r="AU21" s="509">
        <f t="shared" si="12"/>
        <v>0</v>
      </c>
      <c r="AV21" s="508">
        <f t="shared" si="13"/>
        <v>0</v>
      </c>
      <c r="AW21" s="507">
        <f t="shared" si="14"/>
        <v>0</v>
      </c>
      <c r="AX21" s="509">
        <f t="shared" si="15"/>
        <v>0</v>
      </c>
      <c r="AY21" s="508">
        <f t="shared" si="16"/>
        <v>0</v>
      </c>
      <c r="AZ21" s="507">
        <f t="shared" si="17"/>
        <v>0</v>
      </c>
      <c r="BA21" s="509">
        <f t="shared" si="18"/>
        <v>0</v>
      </c>
      <c r="BB21" s="508">
        <f t="shared" si="19"/>
        <v>0</v>
      </c>
      <c r="BC21" s="507">
        <f t="shared" si="20"/>
        <v>0</v>
      </c>
      <c r="BD21" s="509">
        <f t="shared" si="21"/>
        <v>0</v>
      </c>
      <c r="BE21" s="508">
        <f t="shared" si="22"/>
        <v>0</v>
      </c>
      <c r="BF21" s="507">
        <f t="shared" si="23"/>
        <v>0</v>
      </c>
      <c r="BG21" s="509">
        <f t="shared" si="24"/>
        <v>0</v>
      </c>
      <c r="BH21" s="508">
        <f t="shared" si="25"/>
        <v>0</v>
      </c>
      <c r="BI21" s="507">
        <f t="shared" si="26"/>
        <v>0</v>
      </c>
      <c r="BJ21" s="509">
        <f t="shared" si="27"/>
        <v>0</v>
      </c>
      <c r="BK21" s="508">
        <f t="shared" si="28"/>
        <v>0</v>
      </c>
      <c r="BL21" s="507">
        <f t="shared" si="29"/>
        <v>0</v>
      </c>
      <c r="BM21" s="509">
        <f t="shared" si="30"/>
        <v>0</v>
      </c>
      <c r="BN21" s="508">
        <f t="shared" si="31"/>
        <v>0</v>
      </c>
      <c r="BO21" s="507">
        <f t="shared" si="32"/>
        <v>0</v>
      </c>
      <c r="BP21" s="509">
        <f t="shared" si="33"/>
        <v>0</v>
      </c>
      <c r="BQ21" s="507">
        <f t="shared" si="34"/>
        <v>0</v>
      </c>
      <c r="BR21" s="507">
        <f t="shared" si="35"/>
        <v>0</v>
      </c>
      <c r="BS21" s="509">
        <f t="shared" si="36"/>
        <v>0</v>
      </c>
      <c r="BT21" s="507">
        <f t="shared" si="37"/>
        <v>0</v>
      </c>
      <c r="BU21" s="507">
        <f t="shared" si="38"/>
        <v>0</v>
      </c>
      <c r="BV21" s="509">
        <f t="shared" si="39"/>
        <v>0</v>
      </c>
      <c r="BW21" s="507">
        <f t="shared" si="40"/>
        <v>0</v>
      </c>
      <c r="BX21" s="507">
        <f t="shared" si="41"/>
        <v>0</v>
      </c>
      <c r="BY21" s="509">
        <f t="shared" si="42"/>
        <v>0</v>
      </c>
    </row>
    <row r="22" spans="1:77" ht="13.5">
      <c r="A22" s="500" t="s">
        <v>239</v>
      </c>
      <c r="B22" s="501">
        <v>548278</v>
      </c>
      <c r="C22" s="502">
        <v>54824</v>
      </c>
      <c r="D22" s="502">
        <v>12124.13</v>
      </c>
      <c r="E22" s="502">
        <f t="shared" si="43"/>
        <v>315238</v>
      </c>
      <c r="F22" s="502">
        <f t="shared" si="43"/>
        <v>28371.599999999999</v>
      </c>
      <c r="G22" s="502">
        <v>54824</v>
      </c>
      <c r="H22" s="503">
        <v>8840.4</v>
      </c>
      <c r="I22" s="502">
        <v>54824</v>
      </c>
      <c r="J22" s="502">
        <v>7195.68</v>
      </c>
      <c r="K22" s="502">
        <v>54824</v>
      </c>
      <c r="L22" s="502">
        <v>5550.96</v>
      </c>
      <c r="M22" s="502">
        <v>54824</v>
      </c>
      <c r="N22" s="503">
        <v>3906.24</v>
      </c>
      <c r="O22" s="502">
        <v>54824</v>
      </c>
      <c r="P22" s="502">
        <v>2261.52</v>
      </c>
      <c r="Q22" s="502">
        <v>41118</v>
      </c>
      <c r="R22" s="502">
        <v>616.79999999999995</v>
      </c>
      <c r="S22" s="502"/>
      <c r="T22" s="503"/>
      <c r="U22" s="502"/>
      <c r="V22" s="503"/>
      <c r="W22" s="502"/>
      <c r="X22" s="502"/>
      <c r="Y22" s="504"/>
      <c r="Z22" s="503"/>
      <c r="AA22" s="502"/>
      <c r="AB22" s="505"/>
      <c r="AC22" s="502"/>
      <c r="AD22" s="505"/>
      <c r="AE22" s="502"/>
      <c r="AF22" s="505"/>
      <c r="AG22" s="502"/>
      <c r="AH22" s="505"/>
      <c r="AK22" s="506" t="str">
        <f t="shared" si="3"/>
        <v>WFOŚiGW 309/2006/76/OZ/uk/P</v>
      </c>
      <c r="AL22" s="507">
        <f t="shared" si="3"/>
        <v>548278</v>
      </c>
      <c r="AM22" s="508">
        <f t="shared" si="4"/>
        <v>260414</v>
      </c>
      <c r="AN22" s="507">
        <f t="shared" si="5"/>
        <v>19531.199999999997</v>
      </c>
      <c r="AO22" s="509">
        <f t="shared" si="6"/>
        <v>279945.2</v>
      </c>
      <c r="AP22" s="508">
        <f t="shared" si="7"/>
        <v>205590</v>
      </c>
      <c r="AQ22" s="507">
        <f t="shared" si="8"/>
        <v>12335.52</v>
      </c>
      <c r="AR22" s="509">
        <f t="shared" si="9"/>
        <v>217925.52</v>
      </c>
      <c r="AS22" s="508">
        <f t="shared" si="10"/>
        <v>150766</v>
      </c>
      <c r="AT22" s="507">
        <f t="shared" si="11"/>
        <v>6784.56</v>
      </c>
      <c r="AU22" s="509">
        <f t="shared" si="12"/>
        <v>157550.56</v>
      </c>
      <c r="AV22" s="508">
        <f t="shared" si="13"/>
        <v>95942</v>
      </c>
      <c r="AW22" s="507">
        <f t="shared" si="14"/>
        <v>2878.3199999999997</v>
      </c>
      <c r="AX22" s="509">
        <f t="shared" si="15"/>
        <v>98820.32</v>
      </c>
      <c r="AY22" s="508">
        <f t="shared" si="16"/>
        <v>41118</v>
      </c>
      <c r="AZ22" s="507">
        <f t="shared" si="17"/>
        <v>616.79999999999995</v>
      </c>
      <c r="BA22" s="509">
        <f t="shared" si="18"/>
        <v>41734.800000000003</v>
      </c>
      <c r="BB22" s="508">
        <f t="shared" si="19"/>
        <v>0</v>
      </c>
      <c r="BC22" s="507">
        <f t="shared" si="20"/>
        <v>0</v>
      </c>
      <c r="BD22" s="509">
        <f t="shared" si="21"/>
        <v>0</v>
      </c>
      <c r="BE22" s="508">
        <f t="shared" si="22"/>
        <v>0</v>
      </c>
      <c r="BF22" s="507">
        <f t="shared" si="23"/>
        <v>0</v>
      </c>
      <c r="BG22" s="509">
        <f t="shared" si="24"/>
        <v>0</v>
      </c>
      <c r="BH22" s="508">
        <f t="shared" si="25"/>
        <v>0</v>
      </c>
      <c r="BI22" s="507">
        <f t="shared" si="26"/>
        <v>0</v>
      </c>
      <c r="BJ22" s="509">
        <f t="shared" si="27"/>
        <v>0</v>
      </c>
      <c r="BK22" s="508">
        <f t="shared" si="28"/>
        <v>0</v>
      </c>
      <c r="BL22" s="507">
        <f t="shared" si="29"/>
        <v>0</v>
      </c>
      <c r="BM22" s="509">
        <f t="shared" si="30"/>
        <v>0</v>
      </c>
      <c r="BN22" s="508">
        <f t="shared" si="31"/>
        <v>0</v>
      </c>
      <c r="BO22" s="507">
        <f t="shared" si="32"/>
        <v>0</v>
      </c>
      <c r="BP22" s="509">
        <f t="shared" si="33"/>
        <v>0</v>
      </c>
      <c r="BQ22" s="507">
        <f t="shared" si="34"/>
        <v>0</v>
      </c>
      <c r="BR22" s="507">
        <f t="shared" si="35"/>
        <v>0</v>
      </c>
      <c r="BS22" s="509">
        <f t="shared" si="36"/>
        <v>0</v>
      </c>
      <c r="BT22" s="507">
        <f t="shared" si="37"/>
        <v>0</v>
      </c>
      <c r="BU22" s="507">
        <f t="shared" si="38"/>
        <v>0</v>
      </c>
      <c r="BV22" s="509">
        <f t="shared" si="39"/>
        <v>0</v>
      </c>
      <c r="BW22" s="507">
        <f t="shared" si="40"/>
        <v>0</v>
      </c>
      <c r="BX22" s="507">
        <f t="shared" si="41"/>
        <v>0</v>
      </c>
      <c r="BY22" s="509">
        <f t="shared" si="42"/>
        <v>0</v>
      </c>
    </row>
    <row r="23" spans="1:77" ht="13.5">
      <c r="A23" s="510" t="s">
        <v>241</v>
      </c>
      <c r="B23" s="511">
        <v>222896</v>
      </c>
      <c r="C23" s="512">
        <v>23480</v>
      </c>
      <c r="D23" s="512">
        <v>5869.99</v>
      </c>
      <c r="E23" s="502">
        <f t="shared" si="43"/>
        <v>158326</v>
      </c>
      <c r="F23" s="502">
        <f t="shared" si="43"/>
        <v>16476.45</v>
      </c>
      <c r="G23" s="512">
        <v>23480</v>
      </c>
      <c r="H23" s="513">
        <v>4466.09</v>
      </c>
      <c r="I23" s="512">
        <v>23480</v>
      </c>
      <c r="J23" s="502">
        <v>3761.69</v>
      </c>
      <c r="K23" s="512">
        <v>23480</v>
      </c>
      <c r="L23" s="502">
        <v>3057.28</v>
      </c>
      <c r="M23" s="512">
        <v>23480</v>
      </c>
      <c r="N23" s="503">
        <v>2352.89</v>
      </c>
      <c r="O23" s="512">
        <v>23480</v>
      </c>
      <c r="P23" s="502">
        <v>1648.49</v>
      </c>
      <c r="Q23" s="512">
        <v>23480</v>
      </c>
      <c r="R23" s="502">
        <v>944.08</v>
      </c>
      <c r="S23" s="502">
        <v>17446</v>
      </c>
      <c r="T23" s="503">
        <v>245.93</v>
      </c>
      <c r="U23" s="502"/>
      <c r="V23" s="503"/>
      <c r="W23" s="502"/>
      <c r="X23" s="502"/>
      <c r="Y23" s="504"/>
      <c r="Z23" s="503"/>
      <c r="AA23" s="502"/>
      <c r="AB23" s="505"/>
      <c r="AC23" s="502"/>
      <c r="AD23" s="505"/>
      <c r="AE23" s="502"/>
      <c r="AF23" s="505"/>
      <c r="AG23" s="502"/>
      <c r="AH23" s="505"/>
      <c r="AK23" s="506" t="str">
        <f t="shared" si="3"/>
        <v>WFOŚiGW 315/2007/76/OA/no/P</v>
      </c>
      <c r="AL23" s="507">
        <f t="shared" si="3"/>
        <v>222896</v>
      </c>
      <c r="AM23" s="508">
        <f t="shared" si="4"/>
        <v>134846</v>
      </c>
      <c r="AN23" s="507">
        <f t="shared" si="5"/>
        <v>12010.36</v>
      </c>
      <c r="AO23" s="509">
        <f t="shared" si="6"/>
        <v>146856.35999999999</v>
      </c>
      <c r="AP23" s="508">
        <f t="shared" si="7"/>
        <v>111366</v>
      </c>
      <c r="AQ23" s="507">
        <f t="shared" si="8"/>
        <v>8248.67</v>
      </c>
      <c r="AR23" s="509">
        <f t="shared" si="9"/>
        <v>119614.67</v>
      </c>
      <c r="AS23" s="508">
        <f t="shared" si="10"/>
        <v>87886</v>
      </c>
      <c r="AT23" s="507">
        <f t="shared" si="11"/>
        <v>5191.3900000000003</v>
      </c>
      <c r="AU23" s="509">
        <f t="shared" si="12"/>
        <v>93077.39</v>
      </c>
      <c r="AV23" s="508">
        <f t="shared" si="13"/>
        <v>64406</v>
      </c>
      <c r="AW23" s="507">
        <f t="shared" si="14"/>
        <v>2838.5</v>
      </c>
      <c r="AX23" s="509">
        <f t="shared" si="15"/>
        <v>67244.5</v>
      </c>
      <c r="AY23" s="508">
        <f t="shared" si="16"/>
        <v>40926</v>
      </c>
      <c r="AZ23" s="507">
        <f t="shared" si="17"/>
        <v>1190.01</v>
      </c>
      <c r="BA23" s="509">
        <f t="shared" si="18"/>
        <v>42116.01</v>
      </c>
      <c r="BB23" s="508">
        <f t="shared" si="19"/>
        <v>17446</v>
      </c>
      <c r="BC23" s="507">
        <f t="shared" si="20"/>
        <v>245.93</v>
      </c>
      <c r="BD23" s="509">
        <f t="shared" si="21"/>
        <v>17691.93</v>
      </c>
      <c r="BE23" s="508">
        <f t="shared" si="22"/>
        <v>0</v>
      </c>
      <c r="BF23" s="507">
        <f t="shared" si="23"/>
        <v>0</v>
      </c>
      <c r="BG23" s="509">
        <f t="shared" si="24"/>
        <v>0</v>
      </c>
      <c r="BH23" s="508">
        <f t="shared" si="25"/>
        <v>0</v>
      </c>
      <c r="BI23" s="507">
        <f t="shared" si="26"/>
        <v>0</v>
      </c>
      <c r="BJ23" s="509">
        <f t="shared" si="27"/>
        <v>0</v>
      </c>
      <c r="BK23" s="508">
        <f t="shared" si="28"/>
        <v>0</v>
      </c>
      <c r="BL23" s="507">
        <f t="shared" si="29"/>
        <v>0</v>
      </c>
      <c r="BM23" s="509">
        <f t="shared" si="30"/>
        <v>0</v>
      </c>
      <c r="BN23" s="508">
        <f t="shared" si="31"/>
        <v>0</v>
      </c>
      <c r="BO23" s="507">
        <f t="shared" si="32"/>
        <v>0</v>
      </c>
      <c r="BP23" s="509">
        <f t="shared" si="33"/>
        <v>0</v>
      </c>
      <c r="BQ23" s="507">
        <f t="shared" si="34"/>
        <v>0</v>
      </c>
      <c r="BR23" s="507">
        <f t="shared" si="35"/>
        <v>0</v>
      </c>
      <c r="BS23" s="509">
        <f t="shared" si="36"/>
        <v>0</v>
      </c>
      <c r="BT23" s="507">
        <f t="shared" si="37"/>
        <v>0</v>
      </c>
      <c r="BU23" s="507">
        <f t="shared" si="38"/>
        <v>0</v>
      </c>
      <c r="BV23" s="509">
        <f t="shared" si="39"/>
        <v>0</v>
      </c>
      <c r="BW23" s="507">
        <f t="shared" si="40"/>
        <v>0</v>
      </c>
      <c r="BX23" s="507">
        <f t="shared" si="41"/>
        <v>0</v>
      </c>
      <c r="BY23" s="509">
        <f t="shared" si="42"/>
        <v>0</v>
      </c>
    </row>
    <row r="24" spans="1:77" ht="13.5">
      <c r="A24" s="500" t="s">
        <v>243</v>
      </c>
      <c r="B24" s="511">
        <v>141743.99</v>
      </c>
      <c r="C24" s="512"/>
      <c r="D24" s="512">
        <v>4252.32</v>
      </c>
      <c r="E24" s="502">
        <f t="shared" si="43"/>
        <v>141743.99000000002</v>
      </c>
      <c r="F24" s="502">
        <f t="shared" si="43"/>
        <v>11322.24</v>
      </c>
      <c r="G24" s="512"/>
      <c r="H24" s="512">
        <v>4252.32</v>
      </c>
      <c r="I24" s="512"/>
      <c r="J24" s="513">
        <v>4252.32</v>
      </c>
      <c r="K24" s="502">
        <v>140342.70000000001</v>
      </c>
      <c r="L24" s="502">
        <v>2808.26</v>
      </c>
      <c r="M24" s="502">
        <v>1401.29</v>
      </c>
      <c r="N24" s="502">
        <v>9.34</v>
      </c>
      <c r="O24" s="503"/>
      <c r="P24" s="503"/>
      <c r="Q24" s="502"/>
      <c r="R24" s="502"/>
      <c r="S24" s="502"/>
      <c r="T24" s="502"/>
      <c r="U24" s="502"/>
      <c r="V24" s="503"/>
      <c r="W24" s="502"/>
      <c r="X24" s="502"/>
      <c r="Y24" s="504"/>
      <c r="Z24" s="503"/>
      <c r="AA24" s="502"/>
      <c r="AB24" s="505"/>
      <c r="AC24" s="502"/>
      <c r="AD24" s="505"/>
      <c r="AE24" s="502"/>
      <c r="AF24" s="505"/>
      <c r="AG24" s="502"/>
      <c r="AH24" s="505"/>
      <c r="AK24" s="506" t="str">
        <f t="shared" si="3"/>
        <v>WFOŚiGW 1302/2006/76/OA/po/P</v>
      </c>
      <c r="AL24" s="507">
        <f t="shared" si="3"/>
        <v>141743.99</v>
      </c>
      <c r="AM24" s="508">
        <f t="shared" si="4"/>
        <v>141743.99000000002</v>
      </c>
      <c r="AN24" s="507">
        <f t="shared" si="5"/>
        <v>7069.92</v>
      </c>
      <c r="AO24" s="509">
        <f t="shared" si="6"/>
        <v>148813.91000000003</v>
      </c>
      <c r="AP24" s="508">
        <f t="shared" si="7"/>
        <v>141743.99000000002</v>
      </c>
      <c r="AQ24" s="507">
        <f t="shared" si="8"/>
        <v>2817.6000000000004</v>
      </c>
      <c r="AR24" s="509">
        <f t="shared" si="9"/>
        <v>144561.59000000003</v>
      </c>
      <c r="AS24" s="508">
        <f t="shared" si="10"/>
        <v>1401.29</v>
      </c>
      <c r="AT24" s="507">
        <f t="shared" si="11"/>
        <v>9.34</v>
      </c>
      <c r="AU24" s="509">
        <f t="shared" si="12"/>
        <v>1410.6299999999999</v>
      </c>
      <c r="AV24" s="508">
        <f t="shared" si="13"/>
        <v>0</v>
      </c>
      <c r="AW24" s="507">
        <f t="shared" si="14"/>
        <v>0</v>
      </c>
      <c r="AX24" s="509">
        <f t="shared" si="15"/>
        <v>0</v>
      </c>
      <c r="AY24" s="508">
        <f t="shared" si="16"/>
        <v>0</v>
      </c>
      <c r="AZ24" s="507">
        <f t="shared" si="17"/>
        <v>0</v>
      </c>
      <c r="BA24" s="509">
        <f t="shared" si="18"/>
        <v>0</v>
      </c>
      <c r="BB24" s="508">
        <f t="shared" si="19"/>
        <v>0</v>
      </c>
      <c r="BC24" s="507">
        <f t="shared" si="20"/>
        <v>0</v>
      </c>
      <c r="BD24" s="509">
        <f t="shared" si="21"/>
        <v>0</v>
      </c>
      <c r="BE24" s="508">
        <f t="shared" si="22"/>
        <v>0</v>
      </c>
      <c r="BF24" s="507">
        <f t="shared" si="23"/>
        <v>0</v>
      </c>
      <c r="BG24" s="509">
        <f t="shared" si="24"/>
        <v>0</v>
      </c>
      <c r="BH24" s="508">
        <f t="shared" si="25"/>
        <v>0</v>
      </c>
      <c r="BI24" s="507">
        <f t="shared" si="26"/>
        <v>0</v>
      </c>
      <c r="BJ24" s="509">
        <f t="shared" si="27"/>
        <v>0</v>
      </c>
      <c r="BK24" s="508">
        <f t="shared" si="28"/>
        <v>0</v>
      </c>
      <c r="BL24" s="507">
        <f t="shared" si="29"/>
        <v>0</v>
      </c>
      <c r="BM24" s="509">
        <f t="shared" si="30"/>
        <v>0</v>
      </c>
      <c r="BN24" s="508">
        <f t="shared" si="31"/>
        <v>0</v>
      </c>
      <c r="BO24" s="507">
        <f t="shared" si="32"/>
        <v>0</v>
      </c>
      <c r="BP24" s="509">
        <f t="shared" si="33"/>
        <v>0</v>
      </c>
      <c r="BQ24" s="507">
        <f t="shared" si="34"/>
        <v>0</v>
      </c>
      <c r="BR24" s="507">
        <f t="shared" si="35"/>
        <v>0</v>
      </c>
      <c r="BS24" s="509">
        <f t="shared" si="36"/>
        <v>0</v>
      </c>
      <c r="BT24" s="507">
        <f t="shared" si="37"/>
        <v>0</v>
      </c>
      <c r="BU24" s="507">
        <f t="shared" si="38"/>
        <v>0</v>
      </c>
      <c r="BV24" s="509">
        <f t="shared" si="39"/>
        <v>0</v>
      </c>
      <c r="BW24" s="507">
        <f t="shared" si="40"/>
        <v>0</v>
      </c>
      <c r="BX24" s="507">
        <f t="shared" si="41"/>
        <v>0</v>
      </c>
      <c r="BY24" s="509">
        <f t="shared" si="42"/>
        <v>0</v>
      </c>
    </row>
    <row r="25" spans="1:77">
      <c r="A25" s="506" t="s">
        <v>301</v>
      </c>
      <c r="B25" s="501"/>
      <c r="C25" s="502"/>
      <c r="D25" s="502"/>
      <c r="E25" s="502">
        <f t="shared" si="43"/>
        <v>0</v>
      </c>
      <c r="F25" s="502">
        <f t="shared" si="43"/>
        <v>0</v>
      </c>
      <c r="G25" s="502"/>
      <c r="H25" s="502"/>
      <c r="I25" s="502"/>
      <c r="J25" s="502"/>
      <c r="K25" s="502"/>
      <c r="L25" s="503"/>
      <c r="M25" s="502"/>
      <c r="N25" s="502"/>
      <c r="O25" s="502"/>
      <c r="P25" s="502"/>
      <c r="Q25" s="503"/>
      <c r="R25" s="503"/>
      <c r="S25" s="502"/>
      <c r="T25" s="502"/>
      <c r="U25" s="502"/>
      <c r="V25" s="502"/>
      <c r="W25" s="502"/>
      <c r="X25" s="503"/>
      <c r="Y25" s="502"/>
      <c r="Z25" s="502"/>
      <c r="AA25" s="504"/>
      <c r="AB25" s="503"/>
      <c r="AC25" s="502"/>
      <c r="AD25" s="505"/>
      <c r="AE25" s="502"/>
      <c r="AF25" s="505"/>
      <c r="AG25" s="502"/>
      <c r="AH25" s="505"/>
      <c r="AK25" s="506" t="str">
        <f t="shared" si="3"/>
        <v xml:space="preserve"> -</v>
      </c>
      <c r="AL25" s="507"/>
      <c r="AM25" s="508"/>
      <c r="AN25" s="507"/>
      <c r="AO25" s="509"/>
      <c r="AP25" s="508">
        <f t="shared" si="7"/>
        <v>0</v>
      </c>
      <c r="AQ25" s="507">
        <f t="shared" si="8"/>
        <v>0</v>
      </c>
      <c r="AR25" s="509">
        <f t="shared" si="9"/>
        <v>0</v>
      </c>
      <c r="AS25" s="508">
        <f t="shared" si="10"/>
        <v>0</v>
      </c>
      <c r="AT25" s="507">
        <f t="shared" si="11"/>
        <v>0</v>
      </c>
      <c r="AU25" s="509">
        <f t="shared" si="12"/>
        <v>0</v>
      </c>
      <c r="AV25" s="508">
        <f t="shared" si="13"/>
        <v>0</v>
      </c>
      <c r="AW25" s="507">
        <f t="shared" si="14"/>
        <v>0</v>
      </c>
      <c r="AX25" s="509">
        <f t="shared" si="15"/>
        <v>0</v>
      </c>
      <c r="AY25" s="508">
        <f t="shared" si="16"/>
        <v>0</v>
      </c>
      <c r="AZ25" s="507">
        <f t="shared" si="17"/>
        <v>0</v>
      </c>
      <c r="BA25" s="509">
        <f t="shared" si="18"/>
        <v>0</v>
      </c>
      <c r="BB25" s="508">
        <f t="shared" si="19"/>
        <v>0</v>
      </c>
      <c r="BC25" s="507">
        <f t="shared" si="20"/>
        <v>0</v>
      </c>
      <c r="BD25" s="509">
        <f t="shared" si="21"/>
        <v>0</v>
      </c>
      <c r="BE25" s="508">
        <f t="shared" si="22"/>
        <v>0</v>
      </c>
      <c r="BF25" s="507">
        <f t="shared" si="23"/>
        <v>0</v>
      </c>
      <c r="BG25" s="509">
        <f t="shared" si="24"/>
        <v>0</v>
      </c>
      <c r="BH25" s="508">
        <f t="shared" si="25"/>
        <v>0</v>
      </c>
      <c r="BI25" s="507">
        <f t="shared" si="26"/>
        <v>0</v>
      </c>
      <c r="BJ25" s="509">
        <f t="shared" si="27"/>
        <v>0</v>
      </c>
      <c r="BK25" s="508">
        <f t="shared" si="28"/>
        <v>0</v>
      </c>
      <c r="BL25" s="507">
        <f t="shared" si="29"/>
        <v>0</v>
      </c>
      <c r="BM25" s="509">
        <f t="shared" si="30"/>
        <v>0</v>
      </c>
      <c r="BN25" s="508">
        <f t="shared" si="31"/>
        <v>0</v>
      </c>
      <c r="BO25" s="507">
        <f t="shared" si="32"/>
        <v>0</v>
      </c>
      <c r="BP25" s="509">
        <f t="shared" si="33"/>
        <v>0</v>
      </c>
      <c r="BQ25" s="507">
        <f t="shared" si="34"/>
        <v>0</v>
      </c>
      <c r="BR25" s="507">
        <f t="shared" si="35"/>
        <v>0</v>
      </c>
      <c r="BS25" s="509">
        <f t="shared" si="36"/>
        <v>0</v>
      </c>
      <c r="BT25" s="507">
        <f t="shared" si="37"/>
        <v>0</v>
      </c>
      <c r="BU25" s="507">
        <f t="shared" si="38"/>
        <v>0</v>
      </c>
      <c r="BV25" s="509">
        <f t="shared" si="39"/>
        <v>0</v>
      </c>
      <c r="BW25" s="507">
        <f t="shared" si="40"/>
        <v>0</v>
      </c>
      <c r="BX25" s="507">
        <f t="shared" si="41"/>
        <v>0</v>
      </c>
      <c r="BY25" s="509">
        <f t="shared" si="42"/>
        <v>0</v>
      </c>
    </row>
    <row r="26" spans="1:77">
      <c r="A26" s="506" t="s">
        <v>301</v>
      </c>
      <c r="B26" s="511"/>
      <c r="C26" s="512"/>
      <c r="D26" s="512"/>
      <c r="E26" s="502">
        <f t="shared" si="43"/>
        <v>0</v>
      </c>
      <c r="F26" s="502">
        <f t="shared" si="43"/>
        <v>0</v>
      </c>
      <c r="G26" s="512"/>
      <c r="H26" s="512"/>
      <c r="I26" s="512"/>
      <c r="J26" s="512"/>
      <c r="K26" s="512"/>
      <c r="L26" s="513"/>
      <c r="M26" s="502"/>
      <c r="N26" s="502"/>
      <c r="O26" s="502"/>
      <c r="P26" s="502"/>
      <c r="Q26" s="503"/>
      <c r="R26" s="503"/>
      <c r="S26" s="502"/>
      <c r="T26" s="502"/>
      <c r="U26" s="502"/>
      <c r="V26" s="502"/>
      <c r="W26" s="502"/>
      <c r="X26" s="503"/>
      <c r="Y26" s="502"/>
      <c r="Z26" s="502"/>
      <c r="AA26" s="504"/>
      <c r="AB26" s="503"/>
      <c r="AC26" s="502"/>
      <c r="AD26" s="505"/>
      <c r="AE26" s="502"/>
      <c r="AF26" s="505"/>
      <c r="AG26" s="502"/>
      <c r="AH26" s="505"/>
      <c r="AK26" s="506" t="str">
        <f t="shared" si="3"/>
        <v xml:space="preserve"> -</v>
      </c>
      <c r="AL26" s="507"/>
      <c r="AM26" s="508"/>
      <c r="AN26" s="507"/>
      <c r="AO26" s="509"/>
      <c r="AP26" s="508">
        <f t="shared" si="7"/>
        <v>0</v>
      </c>
      <c r="AQ26" s="507">
        <f t="shared" si="8"/>
        <v>0</v>
      </c>
      <c r="AR26" s="509">
        <f t="shared" si="9"/>
        <v>0</v>
      </c>
      <c r="AS26" s="508">
        <f t="shared" si="10"/>
        <v>0</v>
      </c>
      <c r="AT26" s="507">
        <f t="shared" si="11"/>
        <v>0</v>
      </c>
      <c r="AU26" s="509">
        <f t="shared" si="12"/>
        <v>0</v>
      </c>
      <c r="AV26" s="508">
        <f t="shared" si="13"/>
        <v>0</v>
      </c>
      <c r="AW26" s="507">
        <f t="shared" si="14"/>
        <v>0</v>
      </c>
      <c r="AX26" s="509">
        <f t="shared" si="15"/>
        <v>0</v>
      </c>
      <c r="AY26" s="508">
        <f t="shared" si="16"/>
        <v>0</v>
      </c>
      <c r="AZ26" s="507">
        <f t="shared" si="17"/>
        <v>0</v>
      </c>
      <c r="BA26" s="509">
        <f t="shared" si="18"/>
        <v>0</v>
      </c>
      <c r="BB26" s="508">
        <f t="shared" si="19"/>
        <v>0</v>
      </c>
      <c r="BC26" s="507">
        <f t="shared" si="20"/>
        <v>0</v>
      </c>
      <c r="BD26" s="509">
        <f t="shared" si="21"/>
        <v>0</v>
      </c>
      <c r="BE26" s="508">
        <f t="shared" si="22"/>
        <v>0</v>
      </c>
      <c r="BF26" s="507">
        <f t="shared" si="23"/>
        <v>0</v>
      </c>
      <c r="BG26" s="509">
        <f t="shared" si="24"/>
        <v>0</v>
      </c>
      <c r="BH26" s="508">
        <f t="shared" si="25"/>
        <v>0</v>
      </c>
      <c r="BI26" s="507">
        <f t="shared" si="26"/>
        <v>0</v>
      </c>
      <c r="BJ26" s="509">
        <f t="shared" si="27"/>
        <v>0</v>
      </c>
      <c r="BK26" s="508">
        <f t="shared" si="28"/>
        <v>0</v>
      </c>
      <c r="BL26" s="507">
        <f t="shared" si="29"/>
        <v>0</v>
      </c>
      <c r="BM26" s="509">
        <f t="shared" si="30"/>
        <v>0</v>
      </c>
      <c r="BN26" s="508">
        <f t="shared" si="31"/>
        <v>0</v>
      </c>
      <c r="BO26" s="507">
        <f t="shared" si="32"/>
        <v>0</v>
      </c>
      <c r="BP26" s="509">
        <f t="shared" si="33"/>
        <v>0</v>
      </c>
      <c r="BQ26" s="507">
        <f t="shared" si="34"/>
        <v>0</v>
      </c>
      <c r="BR26" s="507">
        <f t="shared" si="35"/>
        <v>0</v>
      </c>
      <c r="BS26" s="509">
        <f t="shared" si="36"/>
        <v>0</v>
      </c>
      <c r="BT26" s="507">
        <f t="shared" si="37"/>
        <v>0</v>
      </c>
      <c r="BU26" s="507">
        <f t="shared" si="38"/>
        <v>0</v>
      </c>
      <c r="BV26" s="509">
        <f t="shared" si="39"/>
        <v>0</v>
      </c>
      <c r="BW26" s="507">
        <f t="shared" si="40"/>
        <v>0</v>
      </c>
      <c r="BX26" s="507">
        <f t="shared" si="41"/>
        <v>0</v>
      </c>
      <c r="BY26" s="509">
        <f t="shared" si="42"/>
        <v>0</v>
      </c>
    </row>
    <row r="27" spans="1:77">
      <c r="A27" s="506" t="s">
        <v>369</v>
      </c>
      <c r="B27" s="554"/>
      <c r="C27" s="512"/>
      <c r="D27" s="512"/>
      <c r="E27" s="502">
        <f t="shared" si="43"/>
        <v>2285316.0000000005</v>
      </c>
      <c r="F27" s="502">
        <f t="shared" si="43"/>
        <v>958794.076</v>
      </c>
      <c r="G27" s="512"/>
      <c r="H27" s="512"/>
      <c r="I27" s="512"/>
      <c r="J27" s="512"/>
      <c r="K27" s="512">
        <v>228531.6</v>
      </c>
      <c r="L27" s="513">
        <f>'pożyczka 2013'!$Y$15</f>
        <v>175533.08599999995</v>
      </c>
      <c r="M27" s="512">
        <v>228531.6</v>
      </c>
      <c r="N27" s="513">
        <f>'pożyczka 2013'!$Y$27</f>
        <v>157832.25000000003</v>
      </c>
      <c r="O27" s="512">
        <v>228531.6</v>
      </c>
      <c r="P27" s="513">
        <f>'pożyczka 2013'!$Y$39</f>
        <v>140131.41000000003</v>
      </c>
      <c r="Q27" s="512">
        <v>228531.6</v>
      </c>
      <c r="R27" s="513">
        <f>'pożyczka 2013'!$Y$51</f>
        <v>122430.58</v>
      </c>
      <c r="S27" s="512">
        <v>228531.6</v>
      </c>
      <c r="T27" s="513">
        <f>'pożyczka 2013'!$Y$63</f>
        <v>104729.85000000002</v>
      </c>
      <c r="U27" s="512">
        <v>228531.6</v>
      </c>
      <c r="V27" s="513">
        <f>'pożyczka 2013'!$Y$75</f>
        <v>87029.00999999998</v>
      </c>
      <c r="W27" s="512">
        <v>228531.6</v>
      </c>
      <c r="X27" s="513">
        <f>'pożyczka 2013'!$Y$87</f>
        <v>69328.170000000013</v>
      </c>
      <c r="Y27" s="512">
        <v>228531.6</v>
      </c>
      <c r="Z27" s="513">
        <f>'pożyczka 2013'!$Y$99</f>
        <v>51627.339999999989</v>
      </c>
      <c r="AA27" s="512">
        <v>228531.6</v>
      </c>
      <c r="AB27" s="513">
        <f>'pożyczka 2013'!$Y$111</f>
        <v>33926.61</v>
      </c>
      <c r="AC27" s="512">
        <v>228531.6</v>
      </c>
      <c r="AD27" s="513">
        <f>'pożyczka 2013'!$Y$123</f>
        <v>16225.769999999999</v>
      </c>
      <c r="AE27" s="502"/>
      <c r="AF27" s="505"/>
      <c r="AG27" s="502"/>
      <c r="AH27" s="505"/>
      <c r="AK27" s="506" t="str">
        <f t="shared" si="3"/>
        <v>pożyczka 2013</v>
      </c>
      <c r="AL27" s="507"/>
      <c r="AM27" s="899"/>
      <c r="AN27" s="900"/>
      <c r="AO27" s="901"/>
      <c r="AP27" s="508">
        <f t="shared" si="7"/>
        <v>2285316.0000000005</v>
      </c>
      <c r="AQ27" s="507">
        <f t="shared" si="8"/>
        <v>958794.076</v>
      </c>
      <c r="AR27" s="509">
        <f t="shared" si="9"/>
        <v>3244110.0760000004</v>
      </c>
      <c r="AS27" s="508">
        <f t="shared" si="10"/>
        <v>2056784.4000000004</v>
      </c>
      <c r="AT27" s="507">
        <f t="shared" si="11"/>
        <v>783260.99000000011</v>
      </c>
      <c r="AU27" s="509">
        <f t="shared" si="12"/>
        <v>2840045.3900000006</v>
      </c>
      <c r="AV27" s="508">
        <f t="shared" si="13"/>
        <v>1828252.8000000003</v>
      </c>
      <c r="AW27" s="507">
        <f t="shared" si="14"/>
        <v>625428.74000000011</v>
      </c>
      <c r="AX27" s="509">
        <f t="shared" si="15"/>
        <v>2453681.5400000005</v>
      </c>
      <c r="AY27" s="508">
        <f t="shared" si="16"/>
        <v>1599721.2000000002</v>
      </c>
      <c r="AZ27" s="507">
        <f t="shared" si="17"/>
        <v>485297.32999999996</v>
      </c>
      <c r="BA27" s="509">
        <f t="shared" si="18"/>
        <v>2085018.5300000003</v>
      </c>
      <c r="BB27" s="508">
        <f t="shared" si="19"/>
        <v>1371189.6</v>
      </c>
      <c r="BC27" s="507">
        <f t="shared" si="20"/>
        <v>362866.75</v>
      </c>
      <c r="BD27" s="509">
        <f t="shared" si="21"/>
        <v>1734056.35</v>
      </c>
      <c r="BE27" s="508">
        <f t="shared" si="22"/>
        <v>1142658</v>
      </c>
      <c r="BF27" s="507">
        <f t="shared" si="23"/>
        <v>258136.9</v>
      </c>
      <c r="BG27" s="509">
        <f t="shared" si="24"/>
        <v>1400794.9</v>
      </c>
      <c r="BH27" s="508">
        <f t="shared" si="25"/>
        <v>914126.4</v>
      </c>
      <c r="BI27" s="507">
        <f t="shared" si="26"/>
        <v>171107.88999999998</v>
      </c>
      <c r="BJ27" s="509">
        <f t="shared" si="27"/>
        <v>1085234.29</v>
      </c>
      <c r="BK27" s="508">
        <f t="shared" si="28"/>
        <v>685594.8</v>
      </c>
      <c r="BL27" s="507">
        <f t="shared" si="29"/>
        <v>101779.71999999999</v>
      </c>
      <c r="BM27" s="509">
        <f t="shared" si="30"/>
        <v>787374.52</v>
      </c>
      <c r="BN27" s="508">
        <f t="shared" si="31"/>
        <v>457063.2</v>
      </c>
      <c r="BO27" s="507">
        <f t="shared" si="32"/>
        <v>50152.38</v>
      </c>
      <c r="BP27" s="509">
        <f t="shared" si="33"/>
        <v>507215.58</v>
      </c>
      <c r="BQ27" s="507">
        <f t="shared" si="34"/>
        <v>228531.6</v>
      </c>
      <c r="BR27" s="507">
        <f t="shared" si="35"/>
        <v>16225.769999999999</v>
      </c>
      <c r="BS27" s="509">
        <f t="shared" si="36"/>
        <v>244757.37</v>
      </c>
      <c r="BT27" s="507">
        <f t="shared" si="37"/>
        <v>0</v>
      </c>
      <c r="BU27" s="507">
        <f t="shared" si="38"/>
        <v>0</v>
      </c>
      <c r="BV27" s="509">
        <f t="shared" ref="BV27" si="44">SUM(BT27,BU27)</f>
        <v>0</v>
      </c>
      <c r="BW27" s="507">
        <f t="shared" si="40"/>
        <v>0</v>
      </c>
      <c r="BX27" s="507">
        <f t="shared" si="41"/>
        <v>0</v>
      </c>
      <c r="BY27" s="509">
        <f t="shared" si="42"/>
        <v>0</v>
      </c>
    </row>
    <row r="28" spans="1:77">
      <c r="A28" s="883" t="s">
        <v>370</v>
      </c>
      <c r="B28" s="554"/>
      <c r="C28" s="512"/>
      <c r="D28" s="512"/>
      <c r="E28" s="502">
        <f t="shared" ref="E28:E29" si="45">G28+I28+K28+M28+O28+Q28+S28+U28+W28+Y28+AA28+AC28+AE28+AG28</f>
        <v>3379956.83</v>
      </c>
      <c r="F28" s="502">
        <f t="shared" ref="F28:F29" si="46">H28+J28+L28+N28+P28+R28+T28+V28+X28+Z28+AB28+AD28+AF28+AH28</f>
        <v>1418045.5600000003</v>
      </c>
      <c r="G28" s="512"/>
      <c r="H28" s="512"/>
      <c r="I28" s="512"/>
      <c r="J28" s="512"/>
      <c r="K28" s="512"/>
      <c r="L28" s="513"/>
      <c r="M28" s="512">
        <v>337995.68</v>
      </c>
      <c r="N28" s="513">
        <f>'pożyczka 2014'!$Y$27</f>
        <v>259611.36000000007</v>
      </c>
      <c r="O28" s="512">
        <v>337995.68</v>
      </c>
      <c r="P28" s="513">
        <f>'pożyczka 2014'!$Y$39</f>
        <v>233432.15000000002</v>
      </c>
      <c r="Q28" s="512">
        <v>337995.68</v>
      </c>
      <c r="R28" s="513">
        <f>'pożyczka 2014'!$Y$51</f>
        <v>207252.83</v>
      </c>
      <c r="S28" s="512">
        <v>337995.68</v>
      </c>
      <c r="T28" s="513">
        <f>'pożyczka 2014'!$Y$63</f>
        <v>181073.51</v>
      </c>
      <c r="U28" s="512">
        <v>337995.68</v>
      </c>
      <c r="V28" s="513">
        <f>'pożyczka 2014'!$Y$75</f>
        <v>154894.18999999997</v>
      </c>
      <c r="W28" s="512">
        <v>337995.68</v>
      </c>
      <c r="X28" s="513">
        <f>'pożyczka 2014'!$Y$87</f>
        <v>128714.87000000002</v>
      </c>
      <c r="Y28" s="512">
        <v>337995.68</v>
      </c>
      <c r="Z28" s="513">
        <f>'pożyczka 2014'!$Y$99</f>
        <v>102535.55999999998</v>
      </c>
      <c r="AA28" s="512">
        <v>337995.68</v>
      </c>
      <c r="AB28" s="513">
        <f>'pożyczka 2014'!$Y$111</f>
        <v>76356.350000000006</v>
      </c>
      <c r="AC28" s="512">
        <v>337995.68</v>
      </c>
      <c r="AD28" s="513">
        <f>'pożyczka 2014'!$Y$123</f>
        <v>50177.030000000006</v>
      </c>
      <c r="AE28" s="512">
        <v>337995.71</v>
      </c>
      <c r="AF28" s="513">
        <f>'pożyczka 2014'!$Y$135</f>
        <v>23997.710000000003</v>
      </c>
      <c r="AG28" s="502"/>
      <c r="AH28" s="513">
        <f>'pożyczka 2014'!$Y$147</f>
        <v>0</v>
      </c>
      <c r="AK28" s="883" t="str">
        <f t="shared" si="3"/>
        <v>pożyczka 2014</v>
      </c>
      <c r="AL28" s="884"/>
      <c r="AM28" s="902"/>
      <c r="AN28" s="903"/>
      <c r="AO28" s="904"/>
      <c r="AP28" s="899"/>
      <c r="AQ28" s="900"/>
      <c r="AR28" s="901"/>
      <c r="AS28" s="508">
        <f t="shared" si="10"/>
        <v>3379956.83</v>
      </c>
      <c r="AT28" s="507">
        <f t="shared" si="11"/>
        <v>1418045.5600000003</v>
      </c>
      <c r="AU28" s="509">
        <f t="shared" ref="AU28" si="47">SUM(AS28,AT28)</f>
        <v>4798002.3900000006</v>
      </c>
      <c r="AV28" s="508">
        <f t="shared" si="13"/>
        <v>3041961.15</v>
      </c>
      <c r="AW28" s="507">
        <f t="shared" si="14"/>
        <v>1158434.2</v>
      </c>
      <c r="AX28" s="509">
        <f t="shared" ref="AX28:AX29" si="48">SUM(AV28,AW28)</f>
        <v>4200395.3499999996</v>
      </c>
      <c r="AY28" s="508">
        <f t="shared" si="16"/>
        <v>2703965.4699999997</v>
      </c>
      <c r="AZ28" s="507">
        <f t="shared" si="17"/>
        <v>925002.04999999981</v>
      </c>
      <c r="BA28" s="509">
        <f t="shared" ref="BA28:BA29" si="49">SUM(AY28,AZ28)</f>
        <v>3628967.5199999996</v>
      </c>
      <c r="BB28" s="508">
        <f t="shared" si="19"/>
        <v>2365969.79</v>
      </c>
      <c r="BC28" s="507">
        <f t="shared" si="20"/>
        <v>717749.21999999986</v>
      </c>
      <c r="BD28" s="509">
        <f t="shared" ref="BD28:BD29" si="50">SUM(BB28,BC28)</f>
        <v>3083719.01</v>
      </c>
      <c r="BE28" s="508">
        <f t="shared" si="22"/>
        <v>2027974.1099999999</v>
      </c>
      <c r="BF28" s="507">
        <f t="shared" si="23"/>
        <v>536675.71</v>
      </c>
      <c r="BG28" s="509">
        <f t="shared" ref="BG28:BG29" si="51">SUM(BE28,BF28)</f>
        <v>2564649.8199999998</v>
      </c>
      <c r="BH28" s="508">
        <f t="shared" si="25"/>
        <v>1689978.43</v>
      </c>
      <c r="BI28" s="507">
        <f t="shared" si="26"/>
        <v>381781.52000000008</v>
      </c>
      <c r="BJ28" s="509">
        <f t="shared" ref="BJ28:BJ29" si="52">SUM(BH28,BI28)</f>
        <v>2071759.95</v>
      </c>
      <c r="BK28" s="508">
        <f t="shared" si="28"/>
        <v>1351982.75</v>
      </c>
      <c r="BL28" s="507">
        <f t="shared" si="29"/>
        <v>253066.64999999997</v>
      </c>
      <c r="BM28" s="509">
        <f t="shared" ref="BM28:BM29" si="53">SUM(BK28,BL28)</f>
        <v>1605049.4</v>
      </c>
      <c r="BN28" s="508">
        <f t="shared" si="31"/>
        <v>1013987.0700000001</v>
      </c>
      <c r="BO28" s="507">
        <f t="shared" si="32"/>
        <v>150531.09</v>
      </c>
      <c r="BP28" s="509">
        <f t="shared" ref="BP28:BP29" si="54">SUM(BN28,BO28)</f>
        <v>1164518.1600000001</v>
      </c>
      <c r="BQ28" s="507">
        <f t="shared" si="34"/>
        <v>675991.39</v>
      </c>
      <c r="BR28" s="507">
        <f t="shared" si="35"/>
        <v>74174.740000000005</v>
      </c>
      <c r="BS28" s="509">
        <f t="shared" ref="BS28:BS29" si="55">SUM(BQ28,BR28)</f>
        <v>750166.13</v>
      </c>
      <c r="BT28" s="507">
        <f t="shared" si="37"/>
        <v>337995.71</v>
      </c>
      <c r="BU28" s="507">
        <f t="shared" si="38"/>
        <v>23997.710000000003</v>
      </c>
      <c r="BV28" s="509">
        <f t="shared" ref="BV28:BV29" si="56">SUM(BT28,BU28)</f>
        <v>361993.42000000004</v>
      </c>
      <c r="BW28" s="507">
        <f t="shared" si="40"/>
        <v>0</v>
      </c>
      <c r="BX28" s="507">
        <f t="shared" si="41"/>
        <v>0</v>
      </c>
      <c r="BY28" s="509">
        <f t="shared" ref="BY28:BY29" si="57">SUM(BW28,BX28)</f>
        <v>0</v>
      </c>
    </row>
    <row r="29" spans="1:77">
      <c r="A29" s="883" t="s">
        <v>371</v>
      </c>
      <c r="B29" s="554"/>
      <c r="C29" s="512"/>
      <c r="D29" s="512"/>
      <c r="E29" s="502">
        <f t="shared" si="45"/>
        <v>545522.93999999994</v>
      </c>
      <c r="F29" s="502">
        <f t="shared" si="46"/>
        <v>228871.5</v>
      </c>
      <c r="G29" s="512"/>
      <c r="H29" s="512"/>
      <c r="I29" s="512"/>
      <c r="J29" s="512"/>
      <c r="K29" s="512"/>
      <c r="L29" s="513"/>
      <c r="M29" s="512"/>
      <c r="N29" s="513"/>
      <c r="O29" s="512">
        <v>54552.29</v>
      </c>
      <c r="P29" s="513">
        <f>'pożyczka 2015'!$Y$39</f>
        <v>41901.089999999989</v>
      </c>
      <c r="Q29" s="512">
        <v>54552.29</v>
      </c>
      <c r="R29" s="513">
        <f>'pożyczka 2015'!$Y$51</f>
        <v>37675.76999999999</v>
      </c>
      <c r="S29" s="512">
        <v>54552.29</v>
      </c>
      <c r="T29" s="513">
        <f>'pożyczka 2015'!$Y$63</f>
        <v>33450.450000000004</v>
      </c>
      <c r="U29" s="512">
        <v>54552.29</v>
      </c>
      <c r="V29" s="513">
        <f>'pożyczka 2015'!$Y$75</f>
        <v>29225.13</v>
      </c>
      <c r="W29" s="512">
        <v>54552.29</v>
      </c>
      <c r="X29" s="513">
        <f>'pożyczka 2015'!$Y$87</f>
        <v>24999.809999999998</v>
      </c>
      <c r="Y29" s="512">
        <v>54552.29</v>
      </c>
      <c r="Z29" s="513">
        <f>'pożyczka 2015'!$Y$99</f>
        <v>20774.489999999994</v>
      </c>
      <c r="AA29" s="512">
        <v>54552.29</v>
      </c>
      <c r="AB29" s="513">
        <f>'pożyczka 2015'!$Y$111</f>
        <v>16549.170000000006</v>
      </c>
      <c r="AC29" s="512">
        <v>54552.29</v>
      </c>
      <c r="AD29" s="513">
        <f>'pożyczka 2015'!$Y$123</f>
        <v>12323.849999999999</v>
      </c>
      <c r="AE29" s="512">
        <v>54552.29</v>
      </c>
      <c r="AF29" s="513">
        <f>'pożyczka 2015'!$Y$135</f>
        <v>8098.5300000000016</v>
      </c>
      <c r="AG29" s="512">
        <v>54552.33</v>
      </c>
      <c r="AH29" s="513">
        <f>'pożyczka 2015'!$Y$147</f>
        <v>3873.2100000000009</v>
      </c>
      <c r="AK29" s="883" t="str">
        <f t="shared" si="3"/>
        <v>pożyczka 2015</v>
      </c>
      <c r="AL29" s="884"/>
      <c r="AM29" s="905"/>
      <c r="AN29" s="906"/>
      <c r="AO29" s="907"/>
      <c r="AP29" s="905"/>
      <c r="AQ29" s="906"/>
      <c r="AR29" s="907"/>
      <c r="AS29" s="899"/>
      <c r="AT29" s="900"/>
      <c r="AU29" s="901"/>
      <c r="AV29" s="508">
        <f t="shared" si="13"/>
        <v>545522.93999999994</v>
      </c>
      <c r="AW29" s="507">
        <f t="shared" si="14"/>
        <v>228871.5</v>
      </c>
      <c r="AX29" s="509">
        <f t="shared" si="48"/>
        <v>774394.44</v>
      </c>
      <c r="AY29" s="508">
        <f t="shared" si="16"/>
        <v>490970.64999999997</v>
      </c>
      <c r="AZ29" s="507">
        <f t="shared" si="17"/>
        <v>186970.41</v>
      </c>
      <c r="BA29" s="509">
        <f t="shared" si="49"/>
        <v>677941.05999999994</v>
      </c>
      <c r="BB29" s="508">
        <f t="shared" si="19"/>
        <v>436418.36</v>
      </c>
      <c r="BC29" s="507">
        <f t="shared" si="20"/>
        <v>149294.63999999998</v>
      </c>
      <c r="BD29" s="509">
        <f t="shared" si="50"/>
        <v>585713</v>
      </c>
      <c r="BE29" s="508">
        <f t="shared" si="22"/>
        <v>381866.07</v>
      </c>
      <c r="BF29" s="507">
        <f t="shared" si="23"/>
        <v>115844.19000000002</v>
      </c>
      <c r="BG29" s="509">
        <f t="shared" si="51"/>
        <v>497710.26</v>
      </c>
      <c r="BH29" s="508">
        <f t="shared" si="25"/>
        <v>327313.78000000003</v>
      </c>
      <c r="BI29" s="507">
        <f t="shared" si="26"/>
        <v>86619.06</v>
      </c>
      <c r="BJ29" s="509">
        <f t="shared" si="52"/>
        <v>413932.84</v>
      </c>
      <c r="BK29" s="508">
        <f t="shared" si="28"/>
        <v>272761.49</v>
      </c>
      <c r="BL29" s="507">
        <f t="shared" si="29"/>
        <v>61619.25</v>
      </c>
      <c r="BM29" s="509">
        <f t="shared" si="53"/>
        <v>334380.74</v>
      </c>
      <c r="BN29" s="508">
        <f t="shared" si="31"/>
        <v>218209.2</v>
      </c>
      <c r="BO29" s="507">
        <f t="shared" si="32"/>
        <v>40844.76</v>
      </c>
      <c r="BP29" s="509">
        <f t="shared" si="54"/>
        <v>259053.96000000002</v>
      </c>
      <c r="BQ29" s="507">
        <f t="shared" si="34"/>
        <v>163656.91</v>
      </c>
      <c r="BR29" s="507">
        <f t="shared" si="35"/>
        <v>24295.590000000004</v>
      </c>
      <c r="BS29" s="509">
        <f t="shared" si="55"/>
        <v>187952.5</v>
      </c>
      <c r="BT29" s="507">
        <f t="shared" si="37"/>
        <v>109104.62</v>
      </c>
      <c r="BU29" s="507">
        <f t="shared" si="38"/>
        <v>11971.740000000002</v>
      </c>
      <c r="BV29" s="509">
        <f t="shared" si="56"/>
        <v>121076.36</v>
      </c>
      <c r="BW29" s="507">
        <f t="shared" si="40"/>
        <v>54552.33</v>
      </c>
      <c r="BX29" s="507">
        <f t="shared" si="41"/>
        <v>3873.2100000000009</v>
      </c>
      <c r="BY29" s="509">
        <f t="shared" si="57"/>
        <v>58425.54</v>
      </c>
    </row>
    <row r="30" spans="1:77" ht="13.5" thickBot="1">
      <c r="A30" s="514" t="s">
        <v>306</v>
      </c>
      <c r="B30" s="515">
        <f>SUM(B14:B29)</f>
        <v>5721940.9900000002</v>
      </c>
      <c r="C30" s="516">
        <f t="shared" ref="C30:F30" si="58">SUM(C14:C27)</f>
        <v>670898</v>
      </c>
      <c r="D30" s="516">
        <f t="shared" si="58"/>
        <v>114809.69</v>
      </c>
      <c r="E30" s="516">
        <f>SUM(E14:E26)</f>
        <v>2909826.29</v>
      </c>
      <c r="F30" s="516">
        <f t="shared" si="58"/>
        <v>1176117.986</v>
      </c>
      <c r="G30" s="516">
        <f>SUM(G14:G29)</f>
        <v>698867</v>
      </c>
      <c r="H30" s="516">
        <f>SUM(H14:H29)</f>
        <v>76564.539999999979</v>
      </c>
      <c r="I30" s="516">
        <f t="shared" ref="I30:AH30" si="59">SUM(I14:I29)</f>
        <v>660865</v>
      </c>
      <c r="J30" s="516">
        <f t="shared" si="59"/>
        <v>57572.180000000008</v>
      </c>
      <c r="K30" s="516">
        <f t="shared" si="59"/>
        <v>829926.6</v>
      </c>
      <c r="L30" s="516">
        <f t="shared" si="59"/>
        <v>214582.74599999996</v>
      </c>
      <c r="M30" s="516">
        <f t="shared" si="59"/>
        <v>1012098.5700000001</v>
      </c>
      <c r="N30" s="516">
        <f t="shared" si="59"/>
        <v>440267.82000000007</v>
      </c>
      <c r="O30" s="516">
        <f t="shared" si="59"/>
        <v>818547.57000000007</v>
      </c>
      <c r="P30" s="516">
        <f t="shared" si="59"/>
        <v>427741.44000000006</v>
      </c>
      <c r="Q30" s="516">
        <f t="shared" si="59"/>
        <v>789235.57000000007</v>
      </c>
      <c r="R30" s="516">
        <f t="shared" si="59"/>
        <v>374062.99</v>
      </c>
      <c r="S30" s="516">
        <f t="shared" si="59"/>
        <v>738240.57000000007</v>
      </c>
      <c r="T30" s="516">
        <f t="shared" si="59"/>
        <v>321535.67000000004</v>
      </c>
      <c r="U30" s="516">
        <f t="shared" si="59"/>
        <v>641422.57000000007</v>
      </c>
      <c r="V30" s="516">
        <f t="shared" si="59"/>
        <v>271199.18999999994</v>
      </c>
      <c r="W30" s="516">
        <f t="shared" si="59"/>
        <v>621079.57000000007</v>
      </c>
      <c r="X30" s="516">
        <f t="shared" si="59"/>
        <v>223042.85000000003</v>
      </c>
      <c r="Y30" s="516">
        <f t="shared" si="59"/>
        <v>621079.57000000007</v>
      </c>
      <c r="Z30" s="516">
        <f t="shared" si="59"/>
        <v>174937.38999999996</v>
      </c>
      <c r="AA30" s="516">
        <f t="shared" si="59"/>
        <v>621079.57000000007</v>
      </c>
      <c r="AB30" s="516">
        <f t="shared" si="59"/>
        <v>126832.13</v>
      </c>
      <c r="AC30" s="516">
        <f t="shared" si="59"/>
        <v>621079.57000000007</v>
      </c>
      <c r="AD30" s="516">
        <f t="shared" si="59"/>
        <v>78726.649999999994</v>
      </c>
      <c r="AE30" s="516">
        <f t="shared" si="59"/>
        <v>392548</v>
      </c>
      <c r="AF30" s="516">
        <f t="shared" si="59"/>
        <v>32096.240000000005</v>
      </c>
      <c r="AG30" s="516">
        <f t="shared" si="59"/>
        <v>54552.33</v>
      </c>
      <c r="AH30" s="516">
        <f t="shared" si="59"/>
        <v>3873.2100000000009</v>
      </c>
      <c r="AK30" s="517" t="s">
        <v>306</v>
      </c>
      <c r="AL30" s="518">
        <f>SUM(AL14:AL27)</f>
        <v>5721940.9900000002</v>
      </c>
      <c r="AM30" s="519">
        <f>SUM(AM14:AM27)</f>
        <v>2210959.29</v>
      </c>
      <c r="AN30" s="520">
        <f t="shared" ref="AN30:AR30" si="60">SUM(AN14:AN27)</f>
        <v>140759.37</v>
      </c>
      <c r="AO30" s="521">
        <f t="shared" si="60"/>
        <v>2351718.66</v>
      </c>
      <c r="AP30" s="519">
        <f t="shared" si="60"/>
        <v>3835410.2900000005</v>
      </c>
      <c r="AQ30" s="520">
        <f t="shared" si="60"/>
        <v>1041981.2660000001</v>
      </c>
      <c r="AR30" s="521">
        <f t="shared" si="60"/>
        <v>4877391.5559999999</v>
      </c>
      <c r="AS30" s="898">
        <f>SUM(AS14:AS28)</f>
        <v>6385440.5200000005</v>
      </c>
      <c r="AT30" s="908">
        <f>SUM(AT14:AT28)</f>
        <v>2245444.0800000005</v>
      </c>
      <c r="AU30" s="909">
        <f>SUM(AU14:AU28)</f>
        <v>8630884.6000000015</v>
      </c>
      <c r="AV30" s="898">
        <f>SUM(AV14:AV29)</f>
        <v>5918864.8900000006</v>
      </c>
      <c r="AW30" s="520">
        <f>SUM(AW14:AW29)</f>
        <v>2034047.76</v>
      </c>
      <c r="AX30" s="521">
        <f>SUM(AX14:AX29)</f>
        <v>7952912.6500000004</v>
      </c>
      <c r="AY30" s="519">
        <f t="shared" ref="AY30:BY30" si="61">SUM(AY14:AY29)</f>
        <v>5100317.32</v>
      </c>
      <c r="AZ30" s="520">
        <f t="shared" si="61"/>
        <v>1606306.3199999996</v>
      </c>
      <c r="BA30" s="521">
        <f t="shared" si="61"/>
        <v>6706623.6399999997</v>
      </c>
      <c r="BB30" s="898">
        <f t="shared" si="61"/>
        <v>4311081.75</v>
      </c>
      <c r="BC30" s="520">
        <f t="shared" si="61"/>
        <v>1232243.3299999998</v>
      </c>
      <c r="BD30" s="521">
        <f t="shared" si="61"/>
        <v>5543325.0800000001</v>
      </c>
      <c r="BE30" s="898">
        <f t="shared" si="61"/>
        <v>3572841.1799999997</v>
      </c>
      <c r="BF30" s="520">
        <f t="shared" si="61"/>
        <v>910707.66</v>
      </c>
      <c r="BG30" s="897">
        <f t="shared" si="61"/>
        <v>4483548.84</v>
      </c>
      <c r="BH30" s="519">
        <f t="shared" si="61"/>
        <v>2931418.6100000003</v>
      </c>
      <c r="BI30" s="519">
        <f t="shared" si="61"/>
        <v>639508.47</v>
      </c>
      <c r="BJ30" s="521">
        <f t="shared" si="61"/>
        <v>3570927.08</v>
      </c>
      <c r="BK30" s="519">
        <f t="shared" si="61"/>
        <v>2310339.04</v>
      </c>
      <c r="BL30" s="519">
        <f t="shared" si="61"/>
        <v>416465.61999999994</v>
      </c>
      <c r="BM30" s="521">
        <f t="shared" si="61"/>
        <v>2726804.66</v>
      </c>
      <c r="BN30" s="898">
        <f t="shared" si="61"/>
        <v>1689259.47</v>
      </c>
      <c r="BO30" s="520">
        <f t="shared" si="61"/>
        <v>241528.23</v>
      </c>
      <c r="BP30" s="521">
        <f t="shared" si="61"/>
        <v>1930787.7000000002</v>
      </c>
      <c r="BQ30" s="898">
        <f t="shared" si="61"/>
        <v>1068179.8999999999</v>
      </c>
      <c r="BR30" s="520">
        <f t="shared" si="61"/>
        <v>114696.1</v>
      </c>
      <c r="BS30" s="521">
        <f t="shared" si="61"/>
        <v>1182876</v>
      </c>
      <c r="BT30" s="898">
        <f t="shared" si="61"/>
        <v>447100.33</v>
      </c>
      <c r="BU30" s="520">
        <f t="shared" si="61"/>
        <v>35969.450000000004</v>
      </c>
      <c r="BV30" s="521">
        <f t="shared" si="61"/>
        <v>483069.78</v>
      </c>
      <c r="BW30" s="898">
        <f t="shared" si="61"/>
        <v>54552.33</v>
      </c>
      <c r="BX30" s="520">
        <f t="shared" si="61"/>
        <v>3873.2100000000009</v>
      </c>
      <c r="BY30" s="521">
        <f t="shared" si="61"/>
        <v>58425.54</v>
      </c>
    </row>
    <row r="31" spans="1:77" ht="14.25" thickBot="1">
      <c r="A31" s="495"/>
      <c r="B31" s="522" t="s">
        <v>303</v>
      </c>
      <c r="C31" s="1433">
        <f>SUM(C30,D30)</f>
        <v>785707.69</v>
      </c>
      <c r="D31" s="1433"/>
      <c r="E31" s="1433">
        <f>SUM(E30,F30)</f>
        <v>4085944.2760000001</v>
      </c>
      <c r="F31" s="1433"/>
      <c r="G31" s="1433">
        <f>SUM(G30,H30)</f>
        <v>775431.54</v>
      </c>
      <c r="H31" s="1433"/>
      <c r="I31" s="1433">
        <f>SUM(I30,J30)</f>
        <v>718437.18</v>
      </c>
      <c r="J31" s="1433"/>
      <c r="K31" s="1433">
        <f>SUM(K30,L30)</f>
        <v>1044509.3459999999</v>
      </c>
      <c r="L31" s="1433"/>
      <c r="M31" s="1433">
        <f>SUM(M30,N30)</f>
        <v>1452366.3900000001</v>
      </c>
      <c r="N31" s="1433"/>
      <c r="O31" s="1433">
        <f>SUM(O30,P30)</f>
        <v>1246289.0100000002</v>
      </c>
      <c r="P31" s="1432"/>
      <c r="Q31" s="1415">
        <f>SUM(Q30,R30)</f>
        <v>1163298.56</v>
      </c>
      <c r="R31" s="1415"/>
      <c r="S31" s="1419">
        <f>SUM(S30,T30)</f>
        <v>1059776.2400000002</v>
      </c>
      <c r="T31" s="1420"/>
      <c r="U31" s="1433">
        <f>SUM(U30,V30)</f>
        <v>912621.76</v>
      </c>
      <c r="V31" s="1432"/>
      <c r="W31" s="1433">
        <f>SUM(W30,X30)</f>
        <v>844122.42000000016</v>
      </c>
      <c r="X31" s="1433"/>
      <c r="Y31" s="1433">
        <f>SUM(Y30,Z30)</f>
        <v>796016.96</v>
      </c>
      <c r="Z31" s="1433"/>
      <c r="AA31" s="1433">
        <f>SUM(AA30,AB30)</f>
        <v>747911.70000000007</v>
      </c>
      <c r="AB31" s="1432"/>
      <c r="AC31" s="1433">
        <f>SUM(AC30,AD30)</f>
        <v>699806.22000000009</v>
      </c>
      <c r="AD31" s="1433"/>
      <c r="AE31" s="1431">
        <f>SUM(AE30,AF30)</f>
        <v>424644.24</v>
      </c>
      <c r="AF31" s="1432"/>
      <c r="AG31" s="1433">
        <f>SUM(AG30,AH30)</f>
        <v>58425.54</v>
      </c>
      <c r="AH31" s="1434"/>
      <c r="AK31" s="523"/>
      <c r="AL31" s="523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</row>
    <row r="32" spans="1:77" ht="13.5" thickBot="1">
      <c r="A32" s="1435" t="s">
        <v>307</v>
      </c>
      <c r="B32" s="1436"/>
      <c r="C32" s="525">
        <f t="shared" ref="C32:AH32" si="62">SUM(C11,C30)</f>
        <v>670898</v>
      </c>
      <c r="D32" s="525">
        <f t="shared" si="62"/>
        <v>114809.69</v>
      </c>
      <c r="E32" s="525">
        <f t="shared" si="62"/>
        <v>2909826.29</v>
      </c>
      <c r="F32" s="525">
        <f t="shared" si="62"/>
        <v>1176117.986</v>
      </c>
      <c r="G32" s="525">
        <f t="shared" si="62"/>
        <v>698867</v>
      </c>
      <c r="H32" s="525">
        <f t="shared" si="62"/>
        <v>76564.539999999979</v>
      </c>
      <c r="I32" s="525">
        <f t="shared" si="62"/>
        <v>660865</v>
      </c>
      <c r="J32" s="525">
        <f t="shared" si="62"/>
        <v>57572.180000000008</v>
      </c>
      <c r="K32" s="525">
        <f t="shared" si="62"/>
        <v>829926.6</v>
      </c>
      <c r="L32" s="525">
        <f t="shared" si="62"/>
        <v>214582.74599999996</v>
      </c>
      <c r="M32" s="525">
        <f t="shared" si="62"/>
        <v>1012098.5700000001</v>
      </c>
      <c r="N32" s="525">
        <f t="shared" si="62"/>
        <v>440267.82000000007</v>
      </c>
      <c r="O32" s="525">
        <f t="shared" si="62"/>
        <v>818547.57000000007</v>
      </c>
      <c r="P32" s="526">
        <f t="shared" si="62"/>
        <v>427741.44000000006</v>
      </c>
      <c r="Q32" s="525">
        <f t="shared" si="62"/>
        <v>789235.57000000007</v>
      </c>
      <c r="R32" s="525">
        <f t="shared" si="62"/>
        <v>374062.99</v>
      </c>
      <c r="S32" s="525">
        <f t="shared" si="62"/>
        <v>738240.57000000007</v>
      </c>
      <c r="T32" s="525">
        <f t="shared" si="62"/>
        <v>321535.67000000004</v>
      </c>
      <c r="U32" s="526">
        <f t="shared" si="62"/>
        <v>641422.57000000007</v>
      </c>
      <c r="V32" s="526">
        <f t="shared" si="62"/>
        <v>271199.18999999994</v>
      </c>
      <c r="W32" s="525">
        <f t="shared" si="62"/>
        <v>621079.57000000007</v>
      </c>
      <c r="X32" s="525">
        <f t="shared" si="62"/>
        <v>223042.85000000003</v>
      </c>
      <c r="Y32" s="525">
        <f t="shared" si="62"/>
        <v>621079.57000000007</v>
      </c>
      <c r="Z32" s="525">
        <f t="shared" si="62"/>
        <v>174937.38999999996</v>
      </c>
      <c r="AA32" s="525">
        <f t="shared" si="62"/>
        <v>621079.57000000007</v>
      </c>
      <c r="AB32" s="526">
        <f t="shared" si="62"/>
        <v>126832.13</v>
      </c>
      <c r="AC32" s="525">
        <f t="shared" si="62"/>
        <v>621079.57000000007</v>
      </c>
      <c r="AD32" s="525">
        <f t="shared" si="62"/>
        <v>78726.649999999994</v>
      </c>
      <c r="AE32" s="527">
        <f t="shared" si="62"/>
        <v>392548</v>
      </c>
      <c r="AF32" s="526">
        <f t="shared" si="62"/>
        <v>32096.240000000005</v>
      </c>
      <c r="AG32" s="525">
        <f t="shared" si="62"/>
        <v>54552.33</v>
      </c>
      <c r="AH32" s="528">
        <f t="shared" si="62"/>
        <v>3873.2100000000009</v>
      </c>
      <c r="AK32" s="529" t="s">
        <v>307</v>
      </c>
      <c r="AL32" s="530"/>
      <c r="AM32" s="531">
        <f t="shared" ref="AM32:BY32" si="63">SUM(AM11+AM30)</f>
        <v>2210959.29</v>
      </c>
      <c r="AN32" s="531">
        <f t="shared" si="63"/>
        <v>140759.37</v>
      </c>
      <c r="AO32" s="531">
        <f t="shared" si="63"/>
        <v>2351718.66</v>
      </c>
      <c r="AP32" s="531">
        <f t="shared" si="63"/>
        <v>3835410.2900000005</v>
      </c>
      <c r="AQ32" s="531">
        <f t="shared" si="63"/>
        <v>1041981.2660000001</v>
      </c>
      <c r="AR32" s="531">
        <f t="shared" si="63"/>
        <v>4877391.5559999999</v>
      </c>
      <c r="AS32" s="531">
        <f t="shared" si="63"/>
        <v>6385440.5200000005</v>
      </c>
      <c r="AT32" s="531">
        <f t="shared" si="63"/>
        <v>2245444.0800000005</v>
      </c>
      <c r="AU32" s="531">
        <f t="shared" si="63"/>
        <v>8630884.6000000015</v>
      </c>
      <c r="AV32" s="531">
        <f t="shared" si="63"/>
        <v>5918864.8900000006</v>
      </c>
      <c r="AW32" s="531">
        <f t="shared" si="63"/>
        <v>2034047.76</v>
      </c>
      <c r="AX32" s="531">
        <f t="shared" si="63"/>
        <v>7952912.6500000004</v>
      </c>
      <c r="AY32" s="531">
        <f t="shared" si="63"/>
        <v>5100317.32</v>
      </c>
      <c r="AZ32" s="531">
        <f t="shared" si="63"/>
        <v>1606306.3199999996</v>
      </c>
      <c r="BA32" s="531">
        <f t="shared" si="63"/>
        <v>6706623.6399999997</v>
      </c>
      <c r="BB32" s="531">
        <f t="shared" si="63"/>
        <v>4311081.75</v>
      </c>
      <c r="BC32" s="531">
        <f t="shared" si="63"/>
        <v>1232243.3299999998</v>
      </c>
      <c r="BD32" s="531">
        <f t="shared" si="63"/>
        <v>5543325.0800000001</v>
      </c>
      <c r="BE32" s="531">
        <f t="shared" si="63"/>
        <v>3572841.1799999997</v>
      </c>
      <c r="BF32" s="531">
        <f t="shared" si="63"/>
        <v>910707.66</v>
      </c>
      <c r="BG32" s="531">
        <f t="shared" si="63"/>
        <v>4483548.84</v>
      </c>
      <c r="BH32" s="531">
        <f t="shared" si="63"/>
        <v>2931418.6100000003</v>
      </c>
      <c r="BI32" s="531">
        <f t="shared" si="63"/>
        <v>639508.47</v>
      </c>
      <c r="BJ32" s="531">
        <f t="shared" si="63"/>
        <v>3570927.08</v>
      </c>
      <c r="BK32" s="531">
        <f t="shared" si="63"/>
        <v>2310339.04</v>
      </c>
      <c r="BL32" s="531">
        <f t="shared" si="63"/>
        <v>416465.61999999994</v>
      </c>
      <c r="BM32" s="531">
        <f t="shared" si="63"/>
        <v>2726804.66</v>
      </c>
      <c r="BN32" s="531">
        <f t="shared" si="63"/>
        <v>1689259.47</v>
      </c>
      <c r="BO32" s="531">
        <f t="shared" si="63"/>
        <v>241528.23</v>
      </c>
      <c r="BP32" s="531">
        <f t="shared" si="63"/>
        <v>1930787.7000000002</v>
      </c>
      <c r="BQ32" s="531">
        <f t="shared" si="63"/>
        <v>1068179.8999999999</v>
      </c>
      <c r="BR32" s="531">
        <f t="shared" si="63"/>
        <v>114696.1</v>
      </c>
      <c r="BS32" s="531">
        <f t="shared" si="63"/>
        <v>1182876</v>
      </c>
      <c r="BT32" s="531">
        <f t="shared" si="63"/>
        <v>447100.33</v>
      </c>
      <c r="BU32" s="531">
        <f t="shared" si="63"/>
        <v>35969.450000000004</v>
      </c>
      <c r="BV32" s="531">
        <f t="shared" si="63"/>
        <v>483069.78</v>
      </c>
      <c r="BW32" s="531">
        <f t="shared" si="63"/>
        <v>54552.33</v>
      </c>
      <c r="BX32" s="531">
        <f t="shared" si="63"/>
        <v>3873.2100000000009</v>
      </c>
      <c r="BY32" s="531">
        <f t="shared" si="63"/>
        <v>58425.54</v>
      </c>
    </row>
    <row r="33" spans="1:77" ht="13.5" thickBot="1">
      <c r="A33" s="1437" t="s">
        <v>308</v>
      </c>
      <c r="B33" s="1438"/>
      <c r="C33" s="1439">
        <f>SUM(C32,D32)</f>
        <v>785707.69</v>
      </c>
      <c r="D33" s="1439"/>
      <c r="E33" s="532"/>
      <c r="F33" s="532">
        <f>E32+F32</f>
        <v>4085944.2760000001</v>
      </c>
      <c r="G33" s="1439">
        <f>SUM(G32,H32)</f>
        <v>775431.54</v>
      </c>
      <c r="H33" s="1439"/>
      <c r="I33" s="1439">
        <f>SUM(I32,J32)</f>
        <v>718437.18</v>
      </c>
      <c r="J33" s="1439"/>
      <c r="K33" s="1439">
        <f>SUM(K32,L32)</f>
        <v>1044509.3459999999</v>
      </c>
      <c r="L33" s="1439"/>
      <c r="M33" s="1439">
        <f>SUM(M32,N32)</f>
        <v>1452366.3900000001</v>
      </c>
      <c r="N33" s="1439"/>
      <c r="O33" s="1439">
        <f>SUM(O32,P32)</f>
        <v>1246289.0100000002</v>
      </c>
      <c r="P33" s="1441"/>
      <c r="Q33" s="1439">
        <f>SUM(Q32,R32)</f>
        <v>1163298.56</v>
      </c>
      <c r="R33" s="1439"/>
      <c r="S33" s="532"/>
      <c r="T33" s="532"/>
      <c r="U33" s="1439">
        <f>SUM(U32,V32)</f>
        <v>912621.76</v>
      </c>
      <c r="V33" s="1441"/>
      <c r="W33" s="1439">
        <f>SUM(W32,X32)</f>
        <v>844122.42000000016</v>
      </c>
      <c r="X33" s="1439"/>
      <c r="Y33" s="1439">
        <f>SUM(Y32,Z32)</f>
        <v>796016.96</v>
      </c>
      <c r="Z33" s="1439"/>
      <c r="AA33" s="1439">
        <f>SUM(AA32,AB32)</f>
        <v>747911.70000000007</v>
      </c>
      <c r="AB33" s="1441"/>
      <c r="AC33" s="1439">
        <f>SUM(AC32,AD32)</f>
        <v>699806.22000000009</v>
      </c>
      <c r="AD33" s="1439"/>
      <c r="AE33" s="1440">
        <f>SUM(AE32,AF32)</f>
        <v>424644.24</v>
      </c>
      <c r="AF33" s="1441"/>
      <c r="AG33" s="1439">
        <f>SUM(AG32,AH32)</f>
        <v>58425.54</v>
      </c>
      <c r="AH33" s="1442"/>
      <c r="AK33" s="533"/>
      <c r="AL33" s="533"/>
      <c r="AM33" s="534"/>
      <c r="AN33" s="534"/>
      <c r="AO33" s="534"/>
      <c r="AP33" s="534"/>
      <c r="AQ33" s="534"/>
      <c r="AR33" s="534"/>
      <c r="AS33" s="534"/>
      <c r="AT33" s="534"/>
      <c r="AU33" s="534"/>
      <c r="AV33" s="534"/>
      <c r="AW33" s="534"/>
      <c r="AX33" s="534"/>
      <c r="AY33" s="534"/>
      <c r="AZ33" s="534"/>
      <c r="BA33" s="534"/>
      <c r="BB33" s="534"/>
      <c r="BC33" s="534"/>
      <c r="BD33" s="534"/>
      <c r="BE33" s="534"/>
      <c r="BF33" s="534"/>
      <c r="BG33" s="534"/>
      <c r="BH33" s="534"/>
      <c r="BI33" s="534"/>
      <c r="BJ33" s="534"/>
      <c r="BK33" s="534"/>
      <c r="BL33" s="534"/>
      <c r="BM33" s="534"/>
      <c r="BN33" s="534"/>
      <c r="BO33" s="534"/>
      <c r="BP33" s="534"/>
      <c r="BQ33" s="534"/>
      <c r="BR33" s="534"/>
      <c r="BS33" s="534"/>
      <c r="BT33" s="534"/>
      <c r="BU33" s="534"/>
      <c r="BV33" s="534"/>
      <c r="BW33" s="534"/>
      <c r="BX33" s="534"/>
      <c r="BY33" s="534"/>
    </row>
    <row r="34" spans="1:77" ht="27" customHeight="1">
      <c r="A34" s="478" t="s">
        <v>309</v>
      </c>
      <c r="B34" s="492" t="s">
        <v>310</v>
      </c>
      <c r="C34" s="535" t="s">
        <v>298</v>
      </c>
      <c r="D34" s="536" t="s">
        <v>299</v>
      </c>
      <c r="E34" s="535" t="s">
        <v>298</v>
      </c>
      <c r="F34" s="536" t="s">
        <v>299</v>
      </c>
      <c r="G34" s="535" t="s">
        <v>298</v>
      </c>
      <c r="H34" s="536" t="s">
        <v>299</v>
      </c>
      <c r="I34" s="535" t="s">
        <v>298</v>
      </c>
      <c r="J34" s="536" t="s">
        <v>299</v>
      </c>
      <c r="K34" s="535" t="s">
        <v>298</v>
      </c>
      <c r="L34" s="536" t="s">
        <v>299</v>
      </c>
      <c r="M34" s="535" t="s">
        <v>298</v>
      </c>
      <c r="N34" s="536" t="s">
        <v>299</v>
      </c>
      <c r="O34" s="535" t="s">
        <v>298</v>
      </c>
      <c r="P34" s="536" t="s">
        <v>299</v>
      </c>
      <c r="Q34" s="535" t="s">
        <v>298</v>
      </c>
      <c r="R34" s="536" t="s">
        <v>299</v>
      </c>
      <c r="S34" s="535" t="s">
        <v>298</v>
      </c>
      <c r="T34" s="536" t="s">
        <v>299</v>
      </c>
      <c r="U34" s="535" t="s">
        <v>298</v>
      </c>
      <c r="V34" s="536" t="s">
        <v>299</v>
      </c>
      <c r="W34" s="535" t="s">
        <v>298</v>
      </c>
      <c r="X34" s="536" t="s">
        <v>299</v>
      </c>
      <c r="Y34" s="535" t="s">
        <v>298</v>
      </c>
      <c r="Z34" s="536" t="s">
        <v>299</v>
      </c>
      <c r="AA34" s="535" t="s">
        <v>298</v>
      </c>
      <c r="AB34" s="536" t="s">
        <v>299</v>
      </c>
      <c r="AC34" s="535" t="s">
        <v>298</v>
      </c>
      <c r="AD34" s="536" t="s">
        <v>299</v>
      </c>
      <c r="AE34" s="535" t="s">
        <v>298</v>
      </c>
      <c r="AF34" s="536" t="s">
        <v>299</v>
      </c>
      <c r="AG34" s="535" t="s">
        <v>298</v>
      </c>
      <c r="AH34" s="536" t="s">
        <v>299</v>
      </c>
      <c r="AK34" s="495" t="s">
        <v>309</v>
      </c>
      <c r="AL34" s="537"/>
      <c r="AM34" s="497" t="s">
        <v>298</v>
      </c>
      <c r="AN34" s="498" t="s">
        <v>299</v>
      </c>
      <c r="AO34" s="499" t="s">
        <v>300</v>
      </c>
      <c r="AP34" s="538" t="s">
        <v>298</v>
      </c>
      <c r="AQ34" s="498" t="s">
        <v>299</v>
      </c>
      <c r="AR34" s="499" t="s">
        <v>300</v>
      </c>
      <c r="AS34" s="497" t="s">
        <v>298</v>
      </c>
      <c r="AT34" s="498" t="s">
        <v>299</v>
      </c>
      <c r="AU34" s="499" t="s">
        <v>300</v>
      </c>
      <c r="AV34" s="497" t="s">
        <v>298</v>
      </c>
      <c r="AW34" s="498" t="s">
        <v>299</v>
      </c>
      <c r="AX34" s="499" t="s">
        <v>300</v>
      </c>
      <c r="AY34" s="497" t="s">
        <v>298</v>
      </c>
      <c r="AZ34" s="498" t="s">
        <v>299</v>
      </c>
      <c r="BA34" s="499" t="s">
        <v>300</v>
      </c>
      <c r="BB34" s="497" t="s">
        <v>298</v>
      </c>
      <c r="BC34" s="498" t="s">
        <v>299</v>
      </c>
      <c r="BD34" s="499" t="s">
        <v>300</v>
      </c>
      <c r="BE34" s="497" t="s">
        <v>298</v>
      </c>
      <c r="BF34" s="498" t="s">
        <v>299</v>
      </c>
      <c r="BG34" s="499" t="s">
        <v>300</v>
      </c>
      <c r="BH34" s="497" t="s">
        <v>298</v>
      </c>
      <c r="BI34" s="498" t="s">
        <v>299</v>
      </c>
      <c r="BJ34" s="499" t="s">
        <v>300</v>
      </c>
      <c r="BK34" s="497" t="s">
        <v>298</v>
      </c>
      <c r="BL34" s="498" t="s">
        <v>299</v>
      </c>
      <c r="BM34" s="499" t="s">
        <v>300</v>
      </c>
      <c r="BN34" s="497" t="s">
        <v>298</v>
      </c>
      <c r="BO34" s="498" t="s">
        <v>299</v>
      </c>
      <c r="BP34" s="499" t="s">
        <v>300</v>
      </c>
      <c r="BQ34" s="497" t="s">
        <v>298</v>
      </c>
      <c r="BR34" s="498" t="s">
        <v>299</v>
      </c>
      <c r="BS34" s="499" t="s">
        <v>300</v>
      </c>
      <c r="BT34" s="497" t="s">
        <v>298</v>
      </c>
      <c r="BU34" s="498" t="s">
        <v>299</v>
      </c>
      <c r="BV34" s="499" t="s">
        <v>300</v>
      </c>
      <c r="BW34" s="497" t="s">
        <v>298</v>
      </c>
      <c r="BX34" s="498" t="s">
        <v>299</v>
      </c>
      <c r="BY34" s="499" t="s">
        <v>300</v>
      </c>
    </row>
    <row r="35" spans="1:77">
      <c r="A35" s="539" t="s">
        <v>311</v>
      </c>
      <c r="B35" s="540">
        <v>12850000</v>
      </c>
      <c r="C35" s="541">
        <v>3550000</v>
      </c>
      <c r="D35" s="542">
        <v>273481.8</v>
      </c>
      <c r="E35" s="543">
        <f>G35+I35+K35+M35+O35+Q35+S35+U35+W35+Y35+AA35+AC35+AE35+AG35</f>
        <v>6300000</v>
      </c>
      <c r="F35" s="544">
        <f>H35+J35+L35+N35+P35+R35+T35+V35+X35+Z35+AB35+AD35+AF35+AH35</f>
        <v>134304.51999999999</v>
      </c>
      <c r="G35" s="541">
        <v>6300000</v>
      </c>
      <c r="H35" s="542">
        <v>134304.51999999999</v>
      </c>
      <c r="I35" s="541"/>
      <c r="J35" s="542"/>
      <c r="K35" s="541"/>
      <c r="L35" s="542"/>
      <c r="M35" s="541"/>
      <c r="N35" s="542"/>
      <c r="O35" s="541"/>
      <c r="P35" s="542"/>
      <c r="Q35" s="545"/>
      <c r="R35" s="542"/>
      <c r="S35" s="541"/>
      <c r="T35" s="542"/>
      <c r="U35" s="541"/>
      <c r="V35" s="542"/>
      <c r="W35" s="541"/>
      <c r="X35" s="542"/>
      <c r="Y35" s="541"/>
      <c r="Z35" s="542"/>
      <c r="AA35" s="541"/>
      <c r="AB35" s="542"/>
      <c r="AC35" s="541"/>
      <c r="AD35" s="542"/>
      <c r="AE35" s="541"/>
      <c r="AF35" s="542"/>
      <c r="AG35" s="541"/>
      <c r="AH35" s="542"/>
      <c r="AK35" s="539" t="str">
        <f t="shared" ref="AK35:AL53" si="64">A35</f>
        <v xml:space="preserve">BOŚ </v>
      </c>
      <c r="AL35" s="540">
        <f t="shared" si="64"/>
        <v>12850000</v>
      </c>
      <c r="AM35" s="546">
        <f>SUM($I35,$K35,$M35,$O35,$Q35,$S35,$U35,$W35,$Y35,$AA35,$AC35,$AE35,$AG35)</f>
        <v>0</v>
      </c>
      <c r="AN35" s="547">
        <f>SUM($J35,$L35,$N35,$P35,$R35,$T35,$V35,$X35,$Z35,$AB35,$AD35,$AF35,$AH35)</f>
        <v>0</v>
      </c>
      <c r="AO35" s="542">
        <f>SUM(AM35,AN35)</f>
        <v>0</v>
      </c>
      <c r="AP35" s="548">
        <f>SUM($K35,$M35,$O35,$Q35,$S35,$U35,$W35,$Y35,$AA35,$AC35,$AE35,$AG35)</f>
        <v>0</v>
      </c>
      <c r="AQ35" s="549">
        <f>SUM($L35,$N35,$P35,$R35,$T35,$V35,$X35,$Z35,$AB35,$AD35,$AF35,$AH35)</f>
        <v>0</v>
      </c>
      <c r="AR35" s="542">
        <f>SUM(AP35,AQ35)</f>
        <v>0</v>
      </c>
      <c r="AS35" s="474">
        <f>SUM($M35,$O35,$Q35,$S35,$U35,$W35,$Y35,$AA35,$AC35,$AE35,$AG35)</f>
        <v>0</v>
      </c>
      <c r="AT35" s="549">
        <f>SUM($N35,$P35,$R35,$T35,$V35,$X35,$Z35,$AB35,$AD35,$AF35,$AH35)</f>
        <v>0</v>
      </c>
      <c r="AU35" s="542">
        <f>SUM(AS35,AT35)</f>
        <v>0</v>
      </c>
      <c r="AV35" s="474">
        <f>SUM($O35,$Q35,$S35,$U35,$W35,$Y35,$AA35,$AC35,$AE35,$AG35)</f>
        <v>0</v>
      </c>
      <c r="AW35" s="549">
        <f>SUM($P35,$R35,$T35,$V35,$X35,$Z35,$AB35,$AD35,$AF35,$AH35)</f>
        <v>0</v>
      </c>
      <c r="AX35" s="542">
        <f>SUM(AV35,AW35)</f>
        <v>0</v>
      </c>
      <c r="AY35" s="474">
        <f>SUM($Q35,$S35,$U35,$W35,$Y35,$AA35,$AC35,$AE35,$AG35)</f>
        <v>0</v>
      </c>
      <c r="AZ35" s="549">
        <f>SUM($R35,$T35,$V35,$X35,$Z35,$AB35,$AD35,$AF35,$AH35)</f>
        <v>0</v>
      </c>
      <c r="BA35" s="542">
        <f>SUM(AY35,AZ35)</f>
        <v>0</v>
      </c>
      <c r="BB35" s="474">
        <f>SUM($S35,$U35,$W35,$Y35,$AA35,$AC35,$AE35,$AG35)</f>
        <v>0</v>
      </c>
      <c r="BC35" s="549">
        <f>SUM($T35,$V35,$X35,$Z35,$AB35,$AD35,$AF35,$AH35)</f>
        <v>0</v>
      </c>
      <c r="BD35" s="542">
        <f>SUM(BB35,BC35)</f>
        <v>0</v>
      </c>
      <c r="BE35" s="474">
        <f>SUM($U35,$W35,$Y35,$AA35,$AC35,$AE35,$AG35)</f>
        <v>0</v>
      </c>
      <c r="BF35" s="549">
        <f>SUM($V35,$X35,$Z35,$AB35,$AD35,$AF35,$AH35)</f>
        <v>0</v>
      </c>
      <c r="BG35" s="542">
        <f>SUM(BE35,BF35)</f>
        <v>0</v>
      </c>
      <c r="BH35" s="474">
        <f>SUM($W35,$Y35,$AA35,$AC35,$AE35,$AG35)</f>
        <v>0</v>
      </c>
      <c r="BI35" s="549">
        <f>SUM($X35,$Z35,$AB35,$AD35,$AF35,$AH35)</f>
        <v>0</v>
      </c>
      <c r="BJ35" s="542">
        <f>SUM(BH35,BI35)</f>
        <v>0</v>
      </c>
      <c r="BK35" s="474">
        <f>SUM($Y35,$AA35,$AC35,$AE35,$AG35)</f>
        <v>0</v>
      </c>
      <c r="BL35" s="549">
        <f>SUM($Z35,$AB35,$AD35,$AF35,$AH35)</f>
        <v>0</v>
      </c>
      <c r="BM35" s="542">
        <f>SUM(BK35,BL35)</f>
        <v>0</v>
      </c>
      <c r="BN35" s="474">
        <f>SUM($AA35,$AC35,$AE35,$AG35)</f>
        <v>0</v>
      </c>
      <c r="BO35" s="549">
        <f>SUM($AB35,$AD35,$AF35,$AH35)</f>
        <v>0</v>
      </c>
      <c r="BP35" s="542">
        <f>SUM(BN35,BO35)</f>
        <v>0</v>
      </c>
      <c r="BQ35" s="549">
        <f>SUM($AC35,$AE35,$AG35)</f>
        <v>0</v>
      </c>
      <c r="BR35" s="549">
        <f>SUM($AD35,$AF35,$AH35)</f>
        <v>0</v>
      </c>
      <c r="BS35" s="542">
        <f>SUM(BQ35,BR35)</f>
        <v>0</v>
      </c>
      <c r="BT35" s="549">
        <f>SUM($AE35,$AG35)</f>
        <v>0</v>
      </c>
      <c r="BU35" s="549">
        <f>SUM($AF35,$AH35)</f>
        <v>0</v>
      </c>
      <c r="BV35" s="542">
        <f>SUM(BT35,BU35)</f>
        <v>0</v>
      </c>
      <c r="BW35" s="549">
        <f>SUM($AG35)</f>
        <v>0</v>
      </c>
      <c r="BX35" s="549">
        <f>SUM($AH35)</f>
        <v>0</v>
      </c>
      <c r="BY35" s="542">
        <f>SUM(BW35,BX35)</f>
        <v>0</v>
      </c>
    </row>
    <row r="36" spans="1:77">
      <c r="A36" s="539" t="s">
        <v>250</v>
      </c>
      <c r="B36" s="540">
        <v>2000000</v>
      </c>
      <c r="C36" s="684">
        <v>0</v>
      </c>
      <c r="D36" s="685">
        <v>73091</v>
      </c>
      <c r="E36" s="543">
        <f t="shared" ref="E36:F37" si="65">G36+I36+K36+M36+O36+Q36+S36+U36+W36+Y36+AA36+AC36+AE36+AG36</f>
        <v>2000000</v>
      </c>
      <c r="F36" s="544">
        <f t="shared" si="65"/>
        <v>146181.84</v>
      </c>
      <c r="G36" s="541"/>
      <c r="H36" s="542">
        <v>73090.92</v>
      </c>
      <c r="I36" s="541">
        <v>2000000</v>
      </c>
      <c r="J36" s="542">
        <v>73090.92</v>
      </c>
      <c r="K36" s="541"/>
      <c r="L36" s="542"/>
      <c r="M36" s="541"/>
      <c r="N36" s="542"/>
      <c r="O36" s="541"/>
      <c r="P36" s="542"/>
      <c r="Q36" s="545"/>
      <c r="R36" s="542"/>
      <c r="S36" s="541"/>
      <c r="T36" s="542"/>
      <c r="U36" s="541"/>
      <c r="V36" s="542"/>
      <c r="W36" s="541"/>
      <c r="X36" s="542"/>
      <c r="Y36" s="541"/>
      <c r="Z36" s="542"/>
      <c r="AA36" s="541"/>
      <c r="AB36" s="542"/>
      <c r="AC36" s="541"/>
      <c r="AD36" s="542"/>
      <c r="AE36" s="541"/>
      <c r="AF36" s="542"/>
      <c r="AG36" s="541"/>
      <c r="AH36" s="542"/>
      <c r="AK36" s="539" t="str">
        <f t="shared" si="64"/>
        <v>BOŚ Bank</v>
      </c>
      <c r="AL36" s="540"/>
      <c r="AM36" s="546">
        <f t="shared" ref="AM36:AM43" si="66">SUM($I36,$K36,$M36,$O36,$Q36,$S36,$U36,$W36,$Y36,$AA36,$AC36,$AE36,$AG36)</f>
        <v>2000000</v>
      </c>
      <c r="AN36" s="547">
        <f t="shared" ref="AN36:AN43" si="67">SUM($J36,$L36,$N36,$P36,$R36,$T36,$V36,$X36,$Z36,$AB36,$AD36,$AF36,$AH36)</f>
        <v>73090.92</v>
      </c>
      <c r="AO36" s="542">
        <f t="shared" ref="AO36:AO39" si="68">SUM(AM36,AN36)</f>
        <v>2073090.92</v>
      </c>
      <c r="AP36" s="548">
        <f>SUM($K36,$M36,$O36,$Q36,$S36,$U36,$W36,$Y36,$AA36,$AC36,$AE36,$AG36)</f>
        <v>0</v>
      </c>
      <c r="AQ36" s="549">
        <f>SUM($L36,$N36,$P36,$R36,$T36,$V36,$X36,$Z36,$AB36,$AD36,$AF36,$AH36)</f>
        <v>0</v>
      </c>
      <c r="AR36" s="542">
        <f>SUM(AP36,AQ36)</f>
        <v>0</v>
      </c>
      <c r="AS36" s="474">
        <f>SUM($M36,$O36,$Q36,$S36,$U36,$W36,$Y36,$AA36,$AC36,$AE36,$AG36)</f>
        <v>0</v>
      </c>
      <c r="AT36" s="549">
        <f>SUM($N36,$P36,$R36,$T36,$V36,$X36,$Z36,$AB36,$AD36,$AF36,$AH36)</f>
        <v>0</v>
      </c>
      <c r="AU36" s="542">
        <f>SUM(AS36,AT36)</f>
        <v>0</v>
      </c>
      <c r="AV36" s="474">
        <f>SUM($O36,$Q36,$S36,$U36,$W36,$Y36,$AA36,$AC36,$AE36,$AG36)</f>
        <v>0</v>
      </c>
      <c r="AW36" s="549">
        <f>SUM($P36,$R36,$T36,$V36,$X36,$Z36,$AB36,$AD36,$AF36,$AH36)</f>
        <v>0</v>
      </c>
      <c r="AX36" s="542">
        <f>SUM(AV36,AW36)</f>
        <v>0</v>
      </c>
      <c r="AY36" s="474">
        <f>SUM($Q36,$S36,$U36,$W36,$Y36,$AA36,$AC36,$AE36,$AG36)</f>
        <v>0</v>
      </c>
      <c r="AZ36" s="549">
        <f>SUM($R36,$T36,$V36,$X36,$Z36,$AB36,$AD36,$AF36,$AH36)</f>
        <v>0</v>
      </c>
      <c r="BA36" s="542">
        <f>SUM(AY36,AZ36)</f>
        <v>0</v>
      </c>
      <c r="BB36" s="474">
        <f>SUM($S36,$U36,$W36,$Y36,$AA36,$AC36,$AE36,$AG36)</f>
        <v>0</v>
      </c>
      <c r="BC36" s="549">
        <f>SUM($T36,$V36,$X36,$Z36,$AB36,$AD36,$AF36,$AH36)</f>
        <v>0</v>
      </c>
      <c r="BD36" s="542">
        <f>SUM(BB36,BC36)</f>
        <v>0</v>
      </c>
      <c r="BE36" s="474">
        <f>SUM($U36,$W36,$Y36,$AA36,$AC36,$AE36,$AG36)</f>
        <v>0</v>
      </c>
      <c r="BF36" s="549">
        <f>SUM($V36,$X36,$Z36,$AB36,$AD36,$AF36,$AH36)</f>
        <v>0</v>
      </c>
      <c r="BG36" s="542">
        <f>SUM(BE36,BF36)</f>
        <v>0</v>
      </c>
      <c r="BH36" s="474">
        <f>SUM($W36,$Y36,$AA36,$AC36,$AE36,$AG36)</f>
        <v>0</v>
      </c>
      <c r="BI36" s="549">
        <f>SUM($X36,$Z36,$AB36,$AD36,$AF36,$AH36)</f>
        <v>0</v>
      </c>
      <c r="BJ36" s="542">
        <f>SUM(BH36,BI36)</f>
        <v>0</v>
      </c>
      <c r="BK36" s="474">
        <f>SUM($Y36,$AA36,$AC36,$AE36,$AG36)</f>
        <v>0</v>
      </c>
      <c r="BL36" s="549">
        <f>SUM($Z36,$AB36,$AD36,$AF36,$AH36)</f>
        <v>0</v>
      </c>
      <c r="BM36" s="542">
        <f>SUM(BK36,BL36)</f>
        <v>0</v>
      </c>
      <c r="BN36" s="474">
        <f>SUM($AA36,$AC36,$AE36,$AG36)</f>
        <v>0</v>
      </c>
      <c r="BO36" s="549">
        <f>SUM($AB36,$AD36,$AF36,$AH36)</f>
        <v>0</v>
      </c>
      <c r="BP36" s="542">
        <f>SUM(BN36,BO36)</f>
        <v>0</v>
      </c>
      <c r="BQ36" s="549">
        <f>SUM($AC36,$AE36,$AG36)</f>
        <v>0</v>
      </c>
      <c r="BR36" s="549">
        <f>SUM($AD36,$AF36,$AH36)</f>
        <v>0</v>
      </c>
      <c r="BS36" s="542">
        <f>SUM(BQ36,BR36)</f>
        <v>0</v>
      </c>
      <c r="BT36" s="549">
        <f>SUM($AE36,$AG36)</f>
        <v>0</v>
      </c>
      <c r="BU36" s="549">
        <f>SUM($AF36,$AH36)</f>
        <v>0</v>
      </c>
      <c r="BV36" s="542">
        <f>SUM(BT36,BU36)</f>
        <v>0</v>
      </c>
      <c r="BW36" s="549">
        <f>SUM($AG36)</f>
        <v>0</v>
      </c>
      <c r="BX36" s="549">
        <f>SUM($AH36)</f>
        <v>0</v>
      </c>
      <c r="BY36" s="542">
        <f>SUM(BW36,BX36)</f>
        <v>0</v>
      </c>
    </row>
    <row r="37" spans="1:77">
      <c r="A37" s="539" t="s">
        <v>312</v>
      </c>
      <c r="B37" s="540">
        <v>8900000</v>
      </c>
      <c r="C37" s="684">
        <v>0</v>
      </c>
      <c r="D37" s="685">
        <v>559244</v>
      </c>
      <c r="E37" s="543">
        <f t="shared" si="65"/>
        <v>8900000</v>
      </c>
      <c r="F37" s="544">
        <f t="shared" si="65"/>
        <v>1478225.12</v>
      </c>
      <c r="G37" s="541"/>
      <c r="H37" s="542">
        <v>559243.68000000005</v>
      </c>
      <c r="I37" s="541">
        <v>3000000</v>
      </c>
      <c r="J37" s="542">
        <v>527825</v>
      </c>
      <c r="K37" s="541">
        <f>1000000+4000000</f>
        <v>5000000</v>
      </c>
      <c r="L37" s="542">
        <v>339316.41</v>
      </c>
      <c r="M37" s="541">
        <f>900000</f>
        <v>900000</v>
      </c>
      <c r="N37" s="542">
        <v>51840.03</v>
      </c>
      <c r="O37" s="541"/>
      <c r="P37" s="542"/>
      <c r="Q37" s="545"/>
      <c r="R37" s="542"/>
      <c r="S37" s="541"/>
      <c r="T37" s="542"/>
      <c r="U37" s="541"/>
      <c r="V37" s="542"/>
      <c r="W37" s="541"/>
      <c r="X37" s="542"/>
      <c r="Y37" s="541"/>
      <c r="Z37" s="542"/>
      <c r="AA37" s="541"/>
      <c r="AB37" s="542"/>
      <c r="AC37" s="541"/>
      <c r="AD37" s="542"/>
      <c r="AE37" s="541"/>
      <c r="AF37" s="542"/>
      <c r="AG37" s="541"/>
      <c r="AH37" s="542"/>
      <c r="AK37" s="539" t="str">
        <f t="shared" si="64"/>
        <v>ING Bank</v>
      </c>
      <c r="AL37" s="540">
        <f t="shared" si="64"/>
        <v>8900000</v>
      </c>
      <c r="AM37" s="546">
        <f t="shared" si="66"/>
        <v>8900000</v>
      </c>
      <c r="AN37" s="547">
        <f t="shared" si="67"/>
        <v>918981.44</v>
      </c>
      <c r="AO37" s="542">
        <f t="shared" si="68"/>
        <v>9818981.4399999995</v>
      </c>
      <c r="AP37" s="548">
        <f>SUM($K37,$M37,$O37,$Q37,$S37,$U37,$W37,$Y37,$AA37,$AC37,$AE37,$AG37)</f>
        <v>5900000</v>
      </c>
      <c r="AQ37" s="549">
        <f>SUM($L37,$N37,$P37,$R37,$T37,$V37,$X37,$Z37,$AB37,$AD37,$AF37,$AH37)</f>
        <v>391156.43999999994</v>
      </c>
      <c r="AR37" s="542">
        <f>SUM(AP37,AQ37)</f>
        <v>6291156.4399999995</v>
      </c>
      <c r="AS37" s="474">
        <f>SUM($M37,$O37,$Q37,$S37,$U37,$W37,$Y37,$AA37,$AC37,$AE37,$AG37)</f>
        <v>900000</v>
      </c>
      <c r="AT37" s="549">
        <f>SUM($N37,$P37,$R37,$T37,$V37,$X37,$Z37,$AB37,$AD37,$AF37,$AH37)</f>
        <v>51840.03</v>
      </c>
      <c r="AU37" s="542">
        <f>SUM(AS37,AT37)</f>
        <v>951840.03</v>
      </c>
      <c r="AV37" s="474">
        <f>SUM($O37,$Q37,$S37,$U37,$W37,$Y37,$AA37,$AC37,$AE37,$AG37)</f>
        <v>0</v>
      </c>
      <c r="AW37" s="549">
        <f>SUM($P37,$R37,$T37,$V37,$X37,$Z37,$AB37,$AD37,$AF37,$AH37)</f>
        <v>0</v>
      </c>
      <c r="AX37" s="542">
        <f>SUM(AV37,AW37)</f>
        <v>0</v>
      </c>
      <c r="AY37" s="474">
        <f>SUM($Q37,$S37,$U37,$W37,$Y37,$AA37,$AC37,$AE37,$AG37)</f>
        <v>0</v>
      </c>
      <c r="AZ37" s="549">
        <f>SUM($R37,$T37,$V37,$X37,$Z37,$AB37,$AD37,$AF37,$AH37)</f>
        <v>0</v>
      </c>
      <c r="BA37" s="542">
        <f>SUM(AY37,AZ37)</f>
        <v>0</v>
      </c>
      <c r="BB37" s="474">
        <f>SUM($S37,$U37,$W37,$Y37,$AA37,$AC37,$AE37,$AG37)</f>
        <v>0</v>
      </c>
      <c r="BC37" s="549">
        <f>SUM($T37,$V37,$X37,$Z37,$AB37,$AD37,$AF37,$AH37)</f>
        <v>0</v>
      </c>
      <c r="BD37" s="542">
        <f>SUM(BB37,BC37)</f>
        <v>0</v>
      </c>
      <c r="BE37" s="474">
        <f>SUM($U37,$W37,$Y37,$AA37,$AC37,$AE37,$AG37)</f>
        <v>0</v>
      </c>
      <c r="BF37" s="549">
        <f>SUM($V37,$X37,$Z37,$AB37,$AD37,$AF37,$AH37)</f>
        <v>0</v>
      </c>
      <c r="BG37" s="542">
        <f>SUM(BE37,BF37)</f>
        <v>0</v>
      </c>
      <c r="BH37" s="474">
        <f>SUM($W37,$Y37,$AA37,$AC37,$AE37,$AG37)</f>
        <v>0</v>
      </c>
      <c r="BI37" s="549">
        <f>SUM($X37,$Z37,$AB37,$AD37,$AF37,$AH37)</f>
        <v>0</v>
      </c>
      <c r="BJ37" s="542">
        <f>SUM(BH37,BI37)</f>
        <v>0</v>
      </c>
      <c r="BK37" s="474">
        <f>SUM($Y37,$AA37,$AC37,$AE37,$AG37)</f>
        <v>0</v>
      </c>
      <c r="BL37" s="549">
        <f>SUM($Z37,$AB37,$AD37,$AF37,$AH37)</f>
        <v>0</v>
      </c>
      <c r="BM37" s="542">
        <f>SUM(BK37,BL37)</f>
        <v>0</v>
      </c>
      <c r="BN37" s="474">
        <f>SUM($AA37,$AC37,$AE37,$AG37)</f>
        <v>0</v>
      </c>
      <c r="BO37" s="549">
        <f>SUM($AB37,$AD37,$AF37,$AH37)</f>
        <v>0</v>
      </c>
      <c r="BP37" s="542">
        <f>SUM(BN37,BO37)</f>
        <v>0</v>
      </c>
      <c r="BQ37" s="549">
        <f>SUM($AC37,$AE37,$AG37)</f>
        <v>0</v>
      </c>
      <c r="BR37" s="549">
        <f>SUM($AD37,$AF37,$AH37)</f>
        <v>0</v>
      </c>
      <c r="BS37" s="542">
        <f>SUM(BQ37,BR37)</f>
        <v>0</v>
      </c>
      <c r="BT37" s="549">
        <f>SUM($AE37,$AG37)</f>
        <v>0</v>
      </c>
      <c r="BU37" s="549">
        <f>SUM($AF37,$AH37)</f>
        <v>0</v>
      </c>
      <c r="BV37" s="542">
        <f>SUM(BT37,BU37)</f>
        <v>0</v>
      </c>
      <c r="BW37" s="549">
        <f>SUM($AG37)</f>
        <v>0</v>
      </c>
      <c r="BX37" s="549">
        <f>SUM($AH37)</f>
        <v>0</v>
      </c>
      <c r="BY37" s="542">
        <f>SUM(BW37,BX37)</f>
        <v>0</v>
      </c>
    </row>
    <row r="38" spans="1:77">
      <c r="A38" s="539" t="s">
        <v>266</v>
      </c>
      <c r="B38" s="540">
        <v>16000000</v>
      </c>
      <c r="C38" s="684">
        <v>0</v>
      </c>
      <c r="D38" s="685">
        <v>818619</v>
      </c>
      <c r="E38" s="543">
        <f>G38+I38+K38+M38+O38+Q38+S38+U38+W38+Y38+AA38+AC38+AE38+AG38</f>
        <v>16000000</v>
      </c>
      <c r="F38" s="544">
        <f>H38+J38+L38+N38+P38+R38+T38+V38+X38+Z38+AB38+AD38+AF38+AH38</f>
        <v>4163440.8200000003</v>
      </c>
      <c r="G38" s="541"/>
      <c r="H38" s="542">
        <v>818618.16</v>
      </c>
      <c r="I38" s="541"/>
      <c r="J38" s="542">
        <v>818618.16</v>
      </c>
      <c r="K38" s="541"/>
      <c r="L38" s="542">
        <v>818618.16</v>
      </c>
      <c r="M38" s="541">
        <v>5000000</v>
      </c>
      <c r="N38" s="542">
        <v>818618.16</v>
      </c>
      <c r="O38" s="541">
        <v>5500000</v>
      </c>
      <c r="P38" s="542">
        <v>562800</v>
      </c>
      <c r="Q38" s="545">
        <v>5500000</v>
      </c>
      <c r="R38" s="542">
        <v>326168.18</v>
      </c>
      <c r="S38" s="541"/>
      <c r="T38" s="542"/>
      <c r="U38" s="541"/>
      <c r="V38" s="542"/>
      <c r="W38" s="541"/>
      <c r="X38" s="542"/>
      <c r="Y38" s="541"/>
      <c r="Z38" s="542"/>
      <c r="AA38" s="541"/>
      <c r="AB38" s="542"/>
      <c r="AC38" s="541"/>
      <c r="AD38" s="542"/>
      <c r="AE38" s="541"/>
      <c r="AF38" s="542"/>
      <c r="AG38" s="541"/>
      <c r="AH38" s="542"/>
      <c r="AK38" s="539" t="str">
        <f t="shared" si="64"/>
        <v>Nordea Bank 2010</v>
      </c>
      <c r="AL38" s="540">
        <f t="shared" si="64"/>
        <v>16000000</v>
      </c>
      <c r="AM38" s="546">
        <f t="shared" si="66"/>
        <v>16000000</v>
      </c>
      <c r="AN38" s="547">
        <f t="shared" si="67"/>
        <v>3344822.66</v>
      </c>
      <c r="AO38" s="542">
        <f t="shared" si="68"/>
        <v>19344822.66</v>
      </c>
      <c r="AP38" s="548">
        <f>SUM($K38,$M38,$O38,$Q38,$S38,$U38,$W38,$Y38,$AA38,$AC38,$AE38,$AG38)</f>
        <v>16000000</v>
      </c>
      <c r="AQ38" s="549">
        <f>SUM($L38,$N38,$P38,$R38,$T38,$V38,$X38,$Z38,$AB38,$AD38,$AF38,$AH38)</f>
        <v>2526204.5000000005</v>
      </c>
      <c r="AR38" s="542">
        <f>SUM(AP38,AQ38)</f>
        <v>18526204.5</v>
      </c>
      <c r="AS38" s="474">
        <f>SUM($M38,$O38,$Q38,$S38,$U38,$W38,$Y38,$AA38,$AC38,$AE38,$AG38)</f>
        <v>16000000</v>
      </c>
      <c r="AT38" s="549">
        <f>SUM($N38,$P38,$R38,$T38,$V38,$X38,$Z38,$AB38,$AD38,$AF38,$AH38)</f>
        <v>1707586.34</v>
      </c>
      <c r="AU38" s="542">
        <f>SUM(AS38,AT38)</f>
        <v>17707586.34</v>
      </c>
      <c r="AV38" s="474">
        <f>SUM($O38,$Q38,$S38,$U38,$W38,$Y38,$AA38,$AC38,$AE38,$AG38)</f>
        <v>11000000</v>
      </c>
      <c r="AW38" s="549">
        <f>SUM($P38,$R38,$T38,$V38,$X38,$Z38,$AB38,$AD38,$AF38,$AH38)</f>
        <v>888968.17999999993</v>
      </c>
      <c r="AX38" s="542">
        <f>SUM(AV38,AW38)</f>
        <v>11888968.18</v>
      </c>
      <c r="AY38" s="474">
        <f>SUM($Q38,$S38,$U38,$W38,$Y38,$AA38,$AC38,$AE38,$AG38)</f>
        <v>5500000</v>
      </c>
      <c r="AZ38" s="549">
        <f>SUM($R38,$T38,$V38,$X38,$Z38,$AB38,$AD38,$AF38,$AH38)</f>
        <v>326168.18</v>
      </c>
      <c r="BA38" s="542">
        <f>SUM(AY38,AZ38)</f>
        <v>5826168.1799999997</v>
      </c>
      <c r="BB38" s="474">
        <f>SUM($S38,$U38,$W38,$Y38,$AA38,$AC38,$AE38,$AG38)</f>
        <v>0</v>
      </c>
      <c r="BC38" s="549">
        <f>SUM($T38,$V38,$X38,$Z38,$AB38,$AD38,$AF38,$AH38)</f>
        <v>0</v>
      </c>
      <c r="BD38" s="542">
        <f>SUM(BB38,BC38)</f>
        <v>0</v>
      </c>
      <c r="BE38" s="474">
        <f>SUM($U38,$W38,$Y38,$AA38,$AC38,$AE38,$AG38)</f>
        <v>0</v>
      </c>
      <c r="BF38" s="549">
        <f>SUM($V38,$X38,$Z38,$AB38,$AD38,$AF38,$AH38)</f>
        <v>0</v>
      </c>
      <c r="BG38" s="542">
        <f>SUM(BE38,BF38)</f>
        <v>0</v>
      </c>
      <c r="BH38" s="474">
        <f>SUM($W38,$Y38,$AA38,$AC38,$AE38,$AG38)</f>
        <v>0</v>
      </c>
      <c r="BI38" s="549">
        <f>SUM($X38,$Z38,$AB38,$AD38,$AF38,$AH38)</f>
        <v>0</v>
      </c>
      <c r="BJ38" s="542">
        <f>SUM(BH38,BI38)</f>
        <v>0</v>
      </c>
      <c r="BK38" s="474">
        <f>SUM($Y38,$AA38,$AC38,$AE38,$AG38)</f>
        <v>0</v>
      </c>
      <c r="BL38" s="549">
        <f>SUM($Z38,$AB38,$AD38,$AF38,$AH38)</f>
        <v>0</v>
      </c>
      <c r="BM38" s="542">
        <f>SUM(BK38,BL38)</f>
        <v>0</v>
      </c>
      <c r="BN38" s="474">
        <f>SUM($AA38,$AC38,$AE38,$AG38)</f>
        <v>0</v>
      </c>
      <c r="BO38" s="549">
        <f>SUM($AB38,$AD38,$AF38,$AH38)</f>
        <v>0</v>
      </c>
      <c r="BP38" s="542">
        <f>SUM(BN38,BO38)</f>
        <v>0</v>
      </c>
      <c r="BQ38" s="549">
        <f>SUM($AC38,$AE38,$AG38)</f>
        <v>0</v>
      </c>
      <c r="BR38" s="549">
        <f>SUM($AD38,$AF38,$AH38)</f>
        <v>0</v>
      </c>
      <c r="BS38" s="542">
        <f>SUM(BQ38,BR38)</f>
        <v>0</v>
      </c>
      <c r="BT38" s="549">
        <f>SUM($AE38,$AG38)</f>
        <v>0</v>
      </c>
      <c r="BU38" s="549">
        <f>SUM($AF38,$AH38)</f>
        <v>0</v>
      </c>
      <c r="BV38" s="542">
        <f>SUM(BT38,BU38)</f>
        <v>0</v>
      </c>
      <c r="BW38" s="549">
        <f>SUM($AG38)</f>
        <v>0</v>
      </c>
      <c r="BX38" s="549">
        <f>SUM($AH38)</f>
        <v>0</v>
      </c>
      <c r="BY38" s="542">
        <f>SUM(BW38,BX38)</f>
        <v>0</v>
      </c>
    </row>
    <row r="39" spans="1:77">
      <c r="A39" s="539" t="s">
        <v>256</v>
      </c>
      <c r="B39" s="550">
        <v>10000000</v>
      </c>
      <c r="C39" s="551"/>
      <c r="D39" s="552"/>
      <c r="E39" s="543">
        <f t="shared" ref="E39:F56" si="69">G39+I39+K39+M39+O39+Q39+S39+U39+W39+Y39+AA39+AC39+AE39+AG39</f>
        <v>10000000</v>
      </c>
      <c r="F39" s="544">
        <f t="shared" si="69"/>
        <v>3483391</v>
      </c>
      <c r="G39" s="551"/>
      <c r="H39" s="552">
        <v>511636.32</v>
      </c>
      <c r="I39" s="551">
        <v>500000</v>
      </c>
      <c r="J39" s="552">
        <v>511636.32</v>
      </c>
      <c r="K39" s="551">
        <v>500000</v>
      </c>
      <c r="L39" s="552">
        <v>486054.6</v>
      </c>
      <c r="M39" s="551"/>
      <c r="N39" s="552">
        <v>460472.76</v>
      </c>
      <c r="O39" s="551">
        <v>500000</v>
      </c>
      <c r="P39" s="552">
        <v>460472.76</v>
      </c>
      <c r="Q39" s="551">
        <v>500000</v>
      </c>
      <c r="R39" s="552">
        <v>439154.56</v>
      </c>
      <c r="S39" s="551">
        <v>4000000</v>
      </c>
      <c r="T39" s="552">
        <v>409309.08</v>
      </c>
      <c r="U39" s="551">
        <v>4000000</v>
      </c>
      <c r="V39" s="552">
        <v>204654.6</v>
      </c>
      <c r="W39" s="551"/>
      <c r="X39" s="552"/>
      <c r="Y39" s="551"/>
      <c r="Z39" s="552"/>
      <c r="AA39" s="551"/>
      <c r="AB39" s="552"/>
      <c r="AC39" s="551"/>
      <c r="AD39" s="552"/>
      <c r="AE39" s="551"/>
      <c r="AF39" s="552"/>
      <c r="AG39" s="551"/>
      <c r="AH39" s="552"/>
      <c r="AK39" s="539" t="str">
        <f t="shared" si="64"/>
        <v>Nordea Bank 2011</v>
      </c>
      <c r="AL39" s="540">
        <f t="shared" si="64"/>
        <v>10000000</v>
      </c>
      <c r="AM39" s="546">
        <f t="shared" si="66"/>
        <v>10000000</v>
      </c>
      <c r="AN39" s="547">
        <f t="shared" si="67"/>
        <v>2971754.68</v>
      </c>
      <c r="AO39" s="542">
        <f t="shared" si="68"/>
        <v>12971754.68</v>
      </c>
      <c r="AP39" s="548">
        <f>SUM($K39,$M39,$O39,$Q39,$S39,$U39,$W39,$Y39,$AA39,$AC39,$AE39,$AG39)</f>
        <v>9500000</v>
      </c>
      <c r="AQ39" s="549">
        <f>SUM($L39,$N39,$P39,$R39,$T39,$V39,$X39,$Z39,$AB39,$AD39,$AF39,$AH39)</f>
        <v>2460118.3600000003</v>
      </c>
      <c r="AR39" s="542">
        <f>SUM(AP39,AQ39)</f>
        <v>11960118.359999999</v>
      </c>
      <c r="AS39" s="474">
        <f>SUM($M39,$O39,$Q39,$S39,$U39,$W39,$Y39,$AA39,$AC39,$AE39,$AG39)</f>
        <v>9000000</v>
      </c>
      <c r="AT39" s="549">
        <f>SUM($N39,$P39,$R39,$T39,$V39,$X39,$Z39,$AB39,$AD39,$AF39,$AH39)</f>
        <v>1974063.7600000002</v>
      </c>
      <c r="AU39" s="542">
        <f>SUM(AS39,AT39)</f>
        <v>10974063.76</v>
      </c>
      <c r="AV39" s="474">
        <f>SUM($O39,$Q39,$S39,$U39,$W39,$Y39,$AA39,$AC39,$AE39,$AG39)</f>
        <v>9000000</v>
      </c>
      <c r="AW39" s="549">
        <f>SUM($P39,$R39,$T39,$V39,$X39,$Z39,$AB39,$AD39,$AF39,$AH39)</f>
        <v>1513591.0000000002</v>
      </c>
      <c r="AX39" s="542">
        <f>SUM(AV39,AW39)</f>
        <v>10513591</v>
      </c>
      <c r="AY39" s="474">
        <f>SUM($Q39,$S39,$U39,$W39,$Y39,$AA39,$AC39,$AE39,$AG39)</f>
        <v>8500000</v>
      </c>
      <c r="AZ39" s="549">
        <f>SUM($R39,$T39,$V39,$X39,$Z39,$AB39,$AD39,$AF39,$AH39)</f>
        <v>1053118.24</v>
      </c>
      <c r="BA39" s="542">
        <f>SUM(AY39,AZ39)</f>
        <v>9553118.2400000002</v>
      </c>
      <c r="BB39" s="474">
        <f>SUM($S39,$U39,$W39,$Y39,$AA39,$AC39,$AE39,$AG39)</f>
        <v>8000000</v>
      </c>
      <c r="BC39" s="549">
        <f>SUM($T39,$V39,$X39,$Z39,$AB39,$AD39,$AF39,$AH39)</f>
        <v>613963.68000000005</v>
      </c>
      <c r="BD39" s="542">
        <f>SUM(BB39,BC39)</f>
        <v>8613963.6799999997</v>
      </c>
      <c r="BE39" s="474">
        <f>SUM($U39,$W39,$Y39,$AA39,$AC39,$AE39,$AG39)</f>
        <v>4000000</v>
      </c>
      <c r="BF39" s="549">
        <f>SUM($V39,$X39,$Z39,$AB39,$AD39,$AF39,$AH39)</f>
        <v>204654.6</v>
      </c>
      <c r="BG39" s="542">
        <f>SUM(BE39,BF39)</f>
        <v>4204654.5999999996</v>
      </c>
      <c r="BH39" s="474">
        <f>SUM($W39,$Y39,$AA39,$AC39,$AE39,$AG39)</f>
        <v>0</v>
      </c>
      <c r="BI39" s="549">
        <f>SUM($X39,$Z39,$AB39,$AD39,$AF39,$AH39)</f>
        <v>0</v>
      </c>
      <c r="BJ39" s="542">
        <f>SUM(BH39,BI39)</f>
        <v>0</v>
      </c>
      <c r="BK39" s="474">
        <f>SUM($Y39,$AA39,$AC39,$AE39,$AG39)</f>
        <v>0</v>
      </c>
      <c r="BL39" s="549">
        <f>SUM($Z39,$AB39,$AD39,$AF39,$AH39)</f>
        <v>0</v>
      </c>
      <c r="BM39" s="542">
        <f>SUM(BK39,BL39)</f>
        <v>0</v>
      </c>
      <c r="BN39" s="474">
        <f>SUM($AA39,$AC39,$AE39,$AG39)</f>
        <v>0</v>
      </c>
      <c r="BO39" s="549">
        <f>SUM($AB39,$AD39,$AF39,$AH39)</f>
        <v>0</v>
      </c>
      <c r="BP39" s="542">
        <f>SUM(BN39,BO39)</f>
        <v>0</v>
      </c>
      <c r="BQ39" s="549">
        <f>SUM($AC39,$AE39,$AG39)</f>
        <v>0</v>
      </c>
      <c r="BR39" s="549">
        <f>SUM($AD39,$AF39,$AH39)</f>
        <v>0</v>
      </c>
      <c r="BS39" s="542">
        <f>SUM(BQ39,BR39)</f>
        <v>0</v>
      </c>
      <c r="BT39" s="549">
        <f>SUM($AE39,$AG39)</f>
        <v>0</v>
      </c>
      <c r="BU39" s="549">
        <f>SUM($AF39,$AH39)</f>
        <v>0</v>
      </c>
      <c r="BV39" s="542">
        <f>SUM(BT39,BU39)</f>
        <v>0</v>
      </c>
      <c r="BW39" s="549">
        <f>SUM($AG39)</f>
        <v>0</v>
      </c>
      <c r="BX39" s="549">
        <f>SUM($AH39)</f>
        <v>0</v>
      </c>
      <c r="BY39" s="542">
        <f>SUM(BW39,BX39)</f>
        <v>0</v>
      </c>
    </row>
    <row r="40" spans="1:77">
      <c r="A40" s="553"/>
      <c r="B40" s="554"/>
      <c r="C40" s="555"/>
      <c r="D40" s="556"/>
      <c r="E40" s="543"/>
      <c r="F40" s="544"/>
      <c r="G40" s="555"/>
      <c r="H40" s="556"/>
      <c r="I40" s="555"/>
      <c r="J40" s="556"/>
      <c r="K40" s="555"/>
      <c r="L40" s="556"/>
      <c r="M40" s="555"/>
      <c r="N40" s="556"/>
      <c r="O40" s="555"/>
      <c r="P40" s="556"/>
      <c r="Q40" s="555"/>
      <c r="R40" s="556"/>
      <c r="S40" s="555"/>
      <c r="T40" s="556"/>
      <c r="U40" s="555"/>
      <c r="V40" s="556"/>
      <c r="W40" s="555"/>
      <c r="X40" s="556"/>
      <c r="Y40" s="555"/>
      <c r="Z40" s="556"/>
      <c r="AA40" s="555"/>
      <c r="AB40" s="556"/>
      <c r="AC40" s="555"/>
      <c r="AD40" s="556"/>
      <c r="AE40" s="555"/>
      <c r="AF40" s="556"/>
      <c r="AG40" s="555"/>
      <c r="AH40" s="556"/>
      <c r="AK40" s="833"/>
      <c r="AL40" s="540"/>
      <c r="AM40" s="546"/>
      <c r="AN40" s="547"/>
      <c r="AO40" s="542"/>
      <c r="AP40" s="548"/>
      <c r="AQ40" s="549"/>
      <c r="AR40" s="826"/>
      <c r="AS40" s="472"/>
      <c r="AT40" s="549"/>
      <c r="AU40" s="826"/>
      <c r="AV40" s="472"/>
      <c r="AW40" s="549"/>
      <c r="AX40" s="826"/>
      <c r="AY40" s="472"/>
      <c r="AZ40" s="549"/>
      <c r="BA40" s="826"/>
      <c r="BB40" s="472"/>
      <c r="BC40" s="549"/>
      <c r="BD40" s="826"/>
      <c r="BE40" s="472"/>
      <c r="BF40" s="549"/>
      <c r="BG40" s="826"/>
      <c r="BH40" s="472"/>
      <c r="BI40" s="549"/>
      <c r="BJ40" s="826"/>
      <c r="BK40" s="472"/>
      <c r="BL40" s="549"/>
      <c r="BM40" s="826"/>
      <c r="BN40" s="472"/>
      <c r="BO40" s="549"/>
      <c r="BP40" s="826"/>
      <c r="BQ40" s="549"/>
      <c r="BR40" s="549"/>
      <c r="BS40" s="826"/>
      <c r="BT40" s="549"/>
      <c r="BU40" s="549"/>
      <c r="BV40" s="826"/>
      <c r="BW40" s="549"/>
      <c r="BX40" s="549"/>
      <c r="BY40" s="542"/>
    </row>
    <row r="41" spans="1:77" s="834" customFormat="1">
      <c r="A41" s="827"/>
      <c r="B41" s="828"/>
      <c r="C41" s="829"/>
      <c r="D41" s="830"/>
      <c r="E41" s="831"/>
      <c r="F41" s="832"/>
      <c r="G41" s="829">
        <f>SUM(G35:G39)</f>
        <v>6300000</v>
      </c>
      <c r="H41" s="830">
        <f t="shared" ref="H41:AH41" si="70">SUM(H35:H39)</f>
        <v>2096893.6000000003</v>
      </c>
      <c r="I41" s="829">
        <f t="shared" si="70"/>
        <v>5500000</v>
      </c>
      <c r="J41" s="830">
        <f t="shared" si="70"/>
        <v>1931170.4000000001</v>
      </c>
      <c r="K41" s="829">
        <f t="shared" si="70"/>
        <v>5500000</v>
      </c>
      <c r="L41" s="830">
        <f t="shared" si="70"/>
        <v>1643989.17</v>
      </c>
      <c r="M41" s="829">
        <f t="shared" si="70"/>
        <v>5900000</v>
      </c>
      <c r="N41" s="830">
        <f t="shared" si="70"/>
        <v>1330930.9500000002</v>
      </c>
      <c r="O41" s="829">
        <f t="shared" si="70"/>
        <v>6000000</v>
      </c>
      <c r="P41" s="830">
        <f t="shared" si="70"/>
        <v>1023272.76</v>
      </c>
      <c r="Q41" s="829">
        <f t="shared" si="70"/>
        <v>6000000</v>
      </c>
      <c r="R41" s="830">
        <f t="shared" si="70"/>
        <v>765322.74</v>
      </c>
      <c r="S41" s="829">
        <f t="shared" si="70"/>
        <v>4000000</v>
      </c>
      <c r="T41" s="830">
        <f t="shared" si="70"/>
        <v>409309.08</v>
      </c>
      <c r="U41" s="829">
        <f t="shared" si="70"/>
        <v>4000000</v>
      </c>
      <c r="V41" s="830">
        <f t="shared" si="70"/>
        <v>204654.6</v>
      </c>
      <c r="W41" s="829">
        <f t="shared" si="70"/>
        <v>0</v>
      </c>
      <c r="X41" s="830">
        <f t="shared" si="70"/>
        <v>0</v>
      </c>
      <c r="Y41" s="829">
        <f t="shared" si="70"/>
        <v>0</v>
      </c>
      <c r="Z41" s="830">
        <f t="shared" si="70"/>
        <v>0</v>
      </c>
      <c r="AA41" s="829">
        <f t="shared" si="70"/>
        <v>0</v>
      </c>
      <c r="AB41" s="830">
        <f t="shared" si="70"/>
        <v>0</v>
      </c>
      <c r="AC41" s="829">
        <f t="shared" si="70"/>
        <v>0</v>
      </c>
      <c r="AD41" s="830">
        <f t="shared" si="70"/>
        <v>0</v>
      </c>
      <c r="AE41" s="829">
        <f t="shared" si="70"/>
        <v>0</v>
      </c>
      <c r="AF41" s="830">
        <f t="shared" si="70"/>
        <v>0</v>
      </c>
      <c r="AG41" s="829">
        <f t="shared" si="70"/>
        <v>0</v>
      </c>
      <c r="AH41" s="830">
        <f t="shared" si="70"/>
        <v>0</v>
      </c>
      <c r="AK41" s="835"/>
      <c r="AL41" s="836"/>
      <c r="AM41" s="837"/>
      <c r="AN41" s="838"/>
      <c r="AO41" s="839"/>
      <c r="AP41" s="840"/>
      <c r="AQ41" s="841"/>
      <c r="AR41" s="842"/>
      <c r="AS41" s="838"/>
      <c r="AT41" s="841"/>
      <c r="AU41" s="842"/>
      <c r="AV41" s="838"/>
      <c r="AW41" s="841"/>
      <c r="AX41" s="842"/>
      <c r="AY41" s="838"/>
      <c r="AZ41" s="841"/>
      <c r="BA41" s="842"/>
      <c r="BB41" s="838"/>
      <c r="BC41" s="841"/>
      <c r="BD41" s="842"/>
      <c r="BE41" s="838"/>
      <c r="BF41" s="841"/>
      <c r="BG41" s="842"/>
      <c r="BH41" s="838"/>
      <c r="BI41" s="841"/>
      <c r="BJ41" s="842"/>
      <c r="BK41" s="838"/>
      <c r="BL41" s="841"/>
      <c r="BM41" s="842"/>
      <c r="BN41" s="838"/>
      <c r="BO41" s="841"/>
      <c r="BP41" s="842"/>
      <c r="BQ41" s="841"/>
      <c r="BR41" s="841"/>
      <c r="BS41" s="842"/>
      <c r="BT41" s="841"/>
      <c r="BU41" s="841"/>
      <c r="BV41" s="842"/>
      <c r="BW41" s="841"/>
      <c r="BX41" s="841"/>
      <c r="BY41" s="839"/>
    </row>
    <row r="42" spans="1:77">
      <c r="A42" s="553"/>
      <c r="B42" s="554"/>
      <c r="C42" s="555"/>
      <c r="D42" s="556"/>
      <c r="E42" s="543">
        <f t="shared" si="69"/>
        <v>0</v>
      </c>
      <c r="F42" s="544">
        <f t="shared" si="69"/>
        <v>0</v>
      </c>
      <c r="G42" s="555"/>
      <c r="H42" s="556"/>
      <c r="I42" s="555"/>
      <c r="J42" s="556"/>
      <c r="K42" s="555"/>
      <c r="L42" s="556"/>
      <c r="M42" s="555"/>
      <c r="N42" s="556"/>
      <c r="O42" s="555"/>
      <c r="P42" s="556"/>
      <c r="Q42" s="555"/>
      <c r="R42" s="556"/>
      <c r="S42" s="555"/>
      <c r="T42" s="556"/>
      <c r="U42" s="555"/>
      <c r="V42" s="556"/>
      <c r="W42" s="555"/>
      <c r="X42" s="556"/>
      <c r="Y42" s="555"/>
      <c r="Z42" s="556"/>
      <c r="AA42" s="555"/>
      <c r="AB42" s="556"/>
      <c r="AC42" s="555"/>
      <c r="AD42" s="556"/>
      <c r="AE42" s="555"/>
      <c r="AF42" s="556"/>
      <c r="AG42" s="555"/>
      <c r="AH42" s="556"/>
      <c r="AK42" s="557"/>
      <c r="AL42" s="540"/>
      <c r="AM42" s="546"/>
      <c r="AN42" s="549"/>
      <c r="AO42" s="542"/>
      <c r="AP42" s="547"/>
      <c r="AQ42" s="549"/>
      <c r="AR42" s="558"/>
      <c r="AS42" s="469"/>
      <c r="AT42" s="549"/>
      <c r="AU42" s="558"/>
      <c r="AV42" s="469"/>
      <c r="AW42" s="549"/>
      <c r="AX42" s="558"/>
      <c r="AY42" s="469"/>
      <c r="AZ42" s="549"/>
      <c r="BA42" s="558"/>
      <c r="BB42" s="469"/>
      <c r="BC42" s="549"/>
      <c r="BD42" s="558"/>
      <c r="BE42" s="469"/>
      <c r="BF42" s="549"/>
      <c r="BG42" s="558"/>
      <c r="BH42" s="469"/>
      <c r="BI42" s="549"/>
      <c r="BJ42" s="558"/>
      <c r="BK42" s="469"/>
      <c r="BL42" s="549"/>
      <c r="BM42" s="558"/>
      <c r="BN42" s="469"/>
      <c r="BO42" s="549"/>
      <c r="BP42" s="558"/>
      <c r="BQ42" s="549"/>
      <c r="BR42" s="549"/>
      <c r="BS42" s="558"/>
      <c r="BT42" s="549"/>
      <c r="BU42" s="549"/>
      <c r="BV42" s="558"/>
      <c r="BW42" s="549"/>
      <c r="BX42" s="549"/>
      <c r="BY42" s="542"/>
    </row>
    <row r="43" spans="1:77">
      <c r="A43" s="553" t="s">
        <v>313</v>
      </c>
      <c r="B43" s="554">
        <f>G43+I43+K43+M43+O43+Q43+S43+U43+W43+Y43+AA43+AC43+AE43+AG43</f>
        <v>7000000</v>
      </c>
      <c r="C43" s="555">
        <v>0</v>
      </c>
      <c r="D43" s="556">
        <v>0</v>
      </c>
      <c r="E43" s="543">
        <f t="shared" si="69"/>
        <v>7000000</v>
      </c>
      <c r="F43" s="544">
        <f t="shared" si="69"/>
        <v>2566245.0930727273</v>
      </c>
      <c r="G43" s="555">
        <v>0</v>
      </c>
      <c r="H43" s="556">
        <v>0</v>
      </c>
      <c r="I43" s="555">
        <v>0</v>
      </c>
      <c r="J43" s="556">
        <v>358087.44384545455</v>
      </c>
      <c r="K43" s="555">
        <v>0</v>
      </c>
      <c r="L43" s="556">
        <v>358087.44384545455</v>
      </c>
      <c r="M43" s="555"/>
      <c r="N43" s="556">
        <v>358087.44384545455</v>
      </c>
      <c r="O43" s="555">
        <v>0</v>
      </c>
      <c r="P43" s="556">
        <v>358087.44384545455</v>
      </c>
      <c r="Q43" s="555">
        <v>0</v>
      </c>
      <c r="R43" s="556">
        <v>358087.44384545455</v>
      </c>
      <c r="S43" s="555">
        <v>2000000</v>
      </c>
      <c r="T43" s="556">
        <v>358087.44384545455</v>
      </c>
      <c r="U43" s="555">
        <v>2000000</v>
      </c>
      <c r="V43" s="556">
        <v>264287.47000000003</v>
      </c>
      <c r="W43" s="555">
        <v>3000000</v>
      </c>
      <c r="X43" s="556">
        <v>153432.95999999999</v>
      </c>
      <c r="Y43" s="555">
        <v>0</v>
      </c>
      <c r="Z43" s="556">
        <v>0</v>
      </c>
      <c r="AA43" s="555">
        <v>0</v>
      </c>
      <c r="AB43" s="556">
        <v>0</v>
      </c>
      <c r="AC43" s="555"/>
      <c r="AD43" s="556"/>
      <c r="AE43" s="555"/>
      <c r="AF43" s="556"/>
      <c r="AG43" s="555"/>
      <c r="AH43" s="556"/>
      <c r="AK43" s="539" t="str">
        <f t="shared" si="64"/>
        <v>Obligacje 2012</v>
      </c>
      <c r="AL43" s="540"/>
      <c r="AM43" s="546">
        <f t="shared" si="66"/>
        <v>7000000</v>
      </c>
      <c r="AN43" s="547">
        <f t="shared" si="67"/>
        <v>2566245.0930727273</v>
      </c>
      <c r="AO43" s="542">
        <f t="shared" ref="AO43" si="71">SUM(AM43,AN43)</f>
        <v>9566245.0930727273</v>
      </c>
      <c r="AP43" s="548">
        <f>SUM($K43,$M43,$O43,$Q43,$S43,$U43,$W43,$Y43,$AA43,$AC43,$AE43,$AG43)</f>
        <v>7000000</v>
      </c>
      <c r="AQ43" s="549">
        <f>SUM($L43,$N43,$P43,$R43,$T43,$V43,$X43,$Z43,$AB43,$AD43,$AF43,$AH43)</f>
        <v>2208157.6492272727</v>
      </c>
      <c r="AR43" s="542">
        <f>SUM(AP43,AQ43)</f>
        <v>9208157.6492272727</v>
      </c>
      <c r="AS43" s="474">
        <f>SUM($M43,$O43,$Q43,$S43,$U43,$W43,$Y43,$AA43,$AC43,$AE43,$AG43)</f>
        <v>7000000</v>
      </c>
      <c r="AT43" s="549">
        <f>SUM($N43,$P43,$R43,$T43,$V43,$X43,$Z43,$AB43,$AD43,$AF43,$AH43)</f>
        <v>1850070.2053818181</v>
      </c>
      <c r="AU43" s="542">
        <f>SUM(AS43,AT43)</f>
        <v>8850070.2053818181</v>
      </c>
      <c r="AV43" s="474">
        <f>SUM($O43,$Q43,$S43,$U43,$W43,$Y43,$AA43,$AC43,$AE43,$AG43)</f>
        <v>7000000</v>
      </c>
      <c r="AW43" s="549">
        <f>SUM($P43,$R43,$T43,$V43,$X43,$Z43,$AB43,$AD43,$AF43,$AH43)</f>
        <v>1491982.7615363635</v>
      </c>
      <c r="AX43" s="542">
        <f>SUM(AV43,AW43)</f>
        <v>8491982.7615363635</v>
      </c>
      <c r="AY43" s="474">
        <f>SUM($Q43,$S43,$U43,$W43,$Y43,$AA43,$AC43,$AE43,$AG43)</f>
        <v>7000000</v>
      </c>
      <c r="AZ43" s="549">
        <f>SUM($R43,$T43,$V43,$X43,$Z43,$AB43,$AD43,$AF43,$AH43)</f>
        <v>1133895.3176909091</v>
      </c>
      <c r="BA43" s="542">
        <f>SUM(AY43,AZ43)</f>
        <v>8133895.3176909089</v>
      </c>
      <c r="BB43" s="474">
        <f>SUM($S43,$U43,$W43,$Y43,$AA43,$AC43,$AE43,$AG43)</f>
        <v>7000000</v>
      </c>
      <c r="BC43" s="549">
        <f>SUM($T43,$V43,$X43,$Z43,$AB43,$AD43,$AF43,$AH43)</f>
        <v>775807.87384545454</v>
      </c>
      <c r="BD43" s="542">
        <f>SUM(BB43,BC43)</f>
        <v>7775807.8738454543</v>
      </c>
      <c r="BE43" s="474">
        <f>SUM($U43,$W43,$Y43,$AA43,$AC43,$AE43,$AG43)</f>
        <v>5000000</v>
      </c>
      <c r="BF43" s="549">
        <f>SUM($V43,$X43,$Z43,$AB43,$AD43,$AF43,$AH43)</f>
        <v>417720.43000000005</v>
      </c>
      <c r="BG43" s="542">
        <f>SUM(BE43,BF43)</f>
        <v>5417720.4299999997</v>
      </c>
      <c r="BH43" s="474">
        <f>SUM($W43,$Y43,$AA43,$AC43,$AE43,$AG43)</f>
        <v>3000000</v>
      </c>
      <c r="BI43" s="549">
        <f>SUM($X43,$Z43,$AB43,$AD43,$AF43,$AH43)</f>
        <v>153432.95999999999</v>
      </c>
      <c r="BJ43" s="542">
        <f>SUM(BH43,BI43)</f>
        <v>3153432.96</v>
      </c>
      <c r="BK43" s="474">
        <f>SUM($Y43,$AA43,$AC43,$AE43,$AG43)</f>
        <v>0</v>
      </c>
      <c r="BL43" s="549">
        <f>SUM($Z43,$AB43,$AD43,$AF43,$AH43)</f>
        <v>0</v>
      </c>
      <c r="BM43" s="542">
        <f>SUM(BK43,BL43)</f>
        <v>0</v>
      </c>
      <c r="BN43" s="474">
        <f>SUM($AA43,$AC43,$AE43,$AG43)</f>
        <v>0</v>
      </c>
      <c r="BO43" s="549">
        <f>SUM($AB43,$AD43,$AF43,$AH43)</f>
        <v>0</v>
      </c>
      <c r="BP43" s="542">
        <f>SUM(BN43,BO43)</f>
        <v>0</v>
      </c>
      <c r="BQ43" s="549">
        <f>SUM($AC43,$AE43,$AG43)</f>
        <v>0</v>
      </c>
      <c r="BR43" s="549">
        <f>SUM($AD43,$AF43,$AH43)</f>
        <v>0</v>
      </c>
      <c r="BS43" s="542">
        <f>SUM(BQ43,BR43)</f>
        <v>0</v>
      </c>
      <c r="BT43" s="549">
        <f>SUM($AE43,$AG43)</f>
        <v>0</v>
      </c>
      <c r="BU43" s="549">
        <f>SUM($AF43,$AH43)</f>
        <v>0</v>
      </c>
      <c r="BV43" s="542">
        <f>SUM(BT43,BU43)</f>
        <v>0</v>
      </c>
      <c r="BW43" s="549">
        <f>SUM($AG43)</f>
        <v>0</v>
      </c>
      <c r="BX43" s="549">
        <f>SUM($AH43)</f>
        <v>0</v>
      </c>
      <c r="BY43" s="542">
        <f>SUM(BW43,BX43)</f>
        <v>0</v>
      </c>
    </row>
    <row r="44" spans="1:77">
      <c r="A44" s="553"/>
      <c r="B44" s="554"/>
      <c r="C44" s="555"/>
      <c r="D44" s="556"/>
      <c r="E44" s="543"/>
      <c r="F44" s="544"/>
      <c r="G44" s="555"/>
      <c r="H44" s="556"/>
      <c r="I44" s="555"/>
      <c r="J44" s="556"/>
      <c r="K44" s="555"/>
      <c r="L44" s="556"/>
      <c r="M44" s="555"/>
      <c r="N44" s="556"/>
      <c r="O44" s="555"/>
      <c r="P44" s="556"/>
      <c r="Q44" s="555"/>
      <c r="R44" s="556"/>
      <c r="S44" s="555"/>
      <c r="T44" s="556"/>
      <c r="U44" s="555"/>
      <c r="V44" s="556"/>
      <c r="W44" s="555"/>
      <c r="X44" s="556"/>
      <c r="Y44" s="555"/>
      <c r="Z44" s="556"/>
      <c r="AA44" s="555"/>
      <c r="AB44" s="556"/>
      <c r="AC44" s="555"/>
      <c r="AD44" s="556"/>
      <c r="AE44" s="555"/>
      <c r="AF44" s="556"/>
      <c r="AG44" s="555"/>
      <c r="AH44" s="556"/>
      <c r="AK44" s="539"/>
      <c r="AL44" s="540"/>
      <c r="AM44" s="559"/>
      <c r="AN44" s="560"/>
      <c r="AO44" s="561"/>
      <c r="AP44" s="547"/>
      <c r="AQ44" s="549"/>
      <c r="AR44" s="558"/>
      <c r="AS44" s="469"/>
      <c r="AT44" s="549"/>
      <c r="AU44" s="558"/>
      <c r="AV44" s="469"/>
      <c r="AW44" s="549"/>
      <c r="AX44" s="558"/>
      <c r="AY44" s="469"/>
      <c r="AZ44" s="549"/>
      <c r="BA44" s="558"/>
      <c r="BB44" s="469"/>
      <c r="BC44" s="549"/>
      <c r="BD44" s="558"/>
      <c r="BE44" s="469"/>
      <c r="BF44" s="549"/>
      <c r="BG44" s="558"/>
      <c r="BH44" s="469"/>
      <c r="BI44" s="549"/>
      <c r="BJ44" s="558"/>
      <c r="BK44" s="469"/>
      <c r="BL44" s="549"/>
      <c r="BM44" s="558"/>
      <c r="BN44" s="469"/>
      <c r="BO44" s="549"/>
      <c r="BP44" s="558"/>
      <c r="BQ44" s="549"/>
      <c r="BR44" s="549"/>
      <c r="BS44" s="558"/>
      <c r="BT44" s="549"/>
      <c r="BU44" s="549"/>
      <c r="BV44" s="558"/>
      <c r="BW44" s="549"/>
      <c r="BX44" s="549"/>
      <c r="BY44" s="542"/>
    </row>
    <row r="45" spans="1:77">
      <c r="A45" s="539" t="s">
        <v>314</v>
      </c>
      <c r="B45" s="554" t="str">
        <f>IF(WPF!H50=SUM(G45+I45+K45+M45+O45+Q45+S45+U45+W45+Y45+AA45+AC45+AE45+AG45),SUM(G45+I45+K45+M45+O45+Q45+S45+U45+W45+Y45+AA45+AC45+AE45+AG45),"popraw")</f>
        <v>popraw</v>
      </c>
      <c r="C45" s="555">
        <v>0</v>
      </c>
      <c r="D45" s="556">
        <v>0</v>
      </c>
      <c r="E45" s="543">
        <f t="shared" si="69"/>
        <v>6732194</v>
      </c>
      <c r="F45" s="544">
        <f t="shared" si="69"/>
        <v>2381312.7054181825</v>
      </c>
      <c r="G45" s="741"/>
      <c r="H45" s="742"/>
      <c r="I45" s="741"/>
      <c r="J45" s="742"/>
      <c r="K45" s="555">
        <v>0</v>
      </c>
      <c r="L45" s="556">
        <f>'obligacje 2013'!Y15</f>
        <v>318738.83541818184</v>
      </c>
      <c r="M45" s="555"/>
      <c r="N45" s="556">
        <f>'obligacje 2013'!Y27</f>
        <v>318738.84000000003</v>
      </c>
      <c r="O45" s="555">
        <v>0</v>
      </c>
      <c r="P45" s="556">
        <f>'obligacje 2013'!Y39</f>
        <v>318738.84000000003</v>
      </c>
      <c r="Q45" s="555">
        <v>0</v>
      </c>
      <c r="R45" s="556">
        <f>'obligacje 2013'!Y51</f>
        <v>318738.84000000003</v>
      </c>
      <c r="S45" s="555">
        <v>0</v>
      </c>
      <c r="T45" s="556">
        <f>'obligacje 2013'!Y63</f>
        <v>318738.84000000003</v>
      </c>
      <c r="U45" s="555"/>
      <c r="V45" s="556">
        <f>'obligacje 2013'!Y75</f>
        <v>318738.84000000003</v>
      </c>
      <c r="W45" s="555">
        <v>3000000</v>
      </c>
      <c r="X45" s="556">
        <f>'obligacje 2013'!Y87</f>
        <v>306902.47000000003</v>
      </c>
      <c r="Y45" s="555">
        <v>3732194</v>
      </c>
      <c r="Z45" s="556">
        <f>'obligacje 2013'!Y99</f>
        <v>161977.20000000001</v>
      </c>
      <c r="AA45" s="555"/>
      <c r="AB45" s="556">
        <f>'obligacje 2013'!Y111</f>
        <v>0</v>
      </c>
      <c r="AC45" s="555"/>
      <c r="AD45" s="556">
        <f>'obligacje 2013'!Y123</f>
        <v>0</v>
      </c>
      <c r="AE45" s="555"/>
      <c r="AF45" s="556">
        <f>'obligacje 2013'!Y135</f>
        <v>0</v>
      </c>
      <c r="AG45" s="555"/>
      <c r="AH45" s="556">
        <f>'obligacje 2013'!Y142</f>
        <v>0</v>
      </c>
      <c r="AK45" s="539" t="str">
        <f t="shared" si="64"/>
        <v>Obligacje 2013</v>
      </c>
      <c r="AL45" s="540"/>
      <c r="AM45" s="1443"/>
      <c r="AN45" s="1444"/>
      <c r="AO45" s="1445"/>
      <c r="AP45" s="562">
        <f>SUM($K45,$M45,$O45,$Q45,$S45,$U45,$W45,$Y45,$AA45,$AC45,$AE45,$AG45)</f>
        <v>6732194</v>
      </c>
      <c r="AQ45" s="549">
        <f>SUM($L45,$N45,$P45,$R45,$T45,$V45,$X45,$Z45,$AB45,$AD45,$AF45,$AH45)</f>
        <v>2381312.7054181825</v>
      </c>
      <c r="AR45" s="542">
        <f>SUM(AP45,AQ45)</f>
        <v>9113506.7054181825</v>
      </c>
      <c r="AS45" s="474">
        <f>SUM($M45,$O45,$Q45,$S45,$U45,$W45,$Y45,$AA45,$AC45,$AE45,$AG45)</f>
        <v>6732194</v>
      </c>
      <c r="AT45" s="549">
        <f>SUM($N45,$P45,$R45,$T45,$V45,$X45,$Z45,$AB45,$AD45,$AF45,$AH45)</f>
        <v>2062573.87</v>
      </c>
      <c r="AU45" s="542">
        <f>SUM(AS45,AT45)</f>
        <v>8794767.870000001</v>
      </c>
      <c r="AV45" s="474">
        <f>SUM($O45,$Q45,$S45,$U45,$W45,$Y45,$AA45,$AC45,$AE45,$AG45)</f>
        <v>6732194</v>
      </c>
      <c r="AW45" s="549">
        <f>SUM($P45,$R45,$T45,$V45,$X45,$Z45,$AB45,$AD45,$AF45,$AH45)</f>
        <v>1743835.03</v>
      </c>
      <c r="AX45" s="542">
        <f>SUM(AV45,AW45)</f>
        <v>8476029.0299999993</v>
      </c>
      <c r="AY45" s="474">
        <f>SUM($Q45,$S45,$U45,$W45,$Y45,$AA45,$AC45,$AE45,$AG45)</f>
        <v>6732194</v>
      </c>
      <c r="AZ45" s="549">
        <f>SUM($R45,$T45,$V45,$X45,$Z45,$AB45,$AD45,$AF45,$AH45)</f>
        <v>1425096.19</v>
      </c>
      <c r="BA45" s="542">
        <f>SUM(AY45,AZ45)</f>
        <v>8157290.1899999995</v>
      </c>
      <c r="BB45" s="474">
        <f>SUM($S45,$U45,$W45,$Y45,$AA45,$AC45,$AE45,$AG45)</f>
        <v>6732194</v>
      </c>
      <c r="BC45" s="549">
        <f>SUM($T45,$V45,$X45,$Z45,$AB45,$AD45,$AF45,$AH45)</f>
        <v>1106357.3500000001</v>
      </c>
      <c r="BD45" s="542">
        <f>SUM(BB45,BC45)</f>
        <v>7838551.3499999996</v>
      </c>
      <c r="BE45" s="474">
        <f>SUM($U45,$W45,$Y45,$AA45,$AC45,$AE45,$AG45)</f>
        <v>6732194</v>
      </c>
      <c r="BF45" s="549">
        <f>SUM($V45,$X45,$Z45,$AB45,$AD45,$AF45,$AH45)</f>
        <v>787618.51</v>
      </c>
      <c r="BG45" s="542">
        <f>SUM(BE45,BF45)</f>
        <v>7519812.5099999998</v>
      </c>
      <c r="BH45" s="474">
        <f>SUM($W45,$Y45,$AA45,$AC45,$AE45,$AG45)</f>
        <v>6732194</v>
      </c>
      <c r="BI45" s="549">
        <f>SUM($X45,$Z45,$AB45,$AD45,$AF45,$AH45)</f>
        <v>468879.67000000004</v>
      </c>
      <c r="BJ45" s="542">
        <f>SUM(BH45,BI45)</f>
        <v>7201073.6699999999</v>
      </c>
      <c r="BK45" s="474">
        <f>SUM($Y45,$AA45,$AC45,$AE45,$AG45)</f>
        <v>3732194</v>
      </c>
      <c r="BL45" s="549">
        <f>SUM($Z45,$AB45,$AD45,$AF45,$AH45)</f>
        <v>161977.20000000001</v>
      </c>
      <c r="BM45" s="542">
        <f>SUM(BK45,BL45)</f>
        <v>3894171.2</v>
      </c>
      <c r="BN45" s="474">
        <f>SUM($AA45,$AC45,$AE45,$AG45)</f>
        <v>0</v>
      </c>
      <c r="BO45" s="549">
        <f>SUM($AB45,$AD45,$AF45,$AH45)</f>
        <v>0</v>
      </c>
      <c r="BP45" s="542">
        <f>SUM(BN45,BO45)</f>
        <v>0</v>
      </c>
      <c r="BQ45" s="549">
        <f>SUM($AC45,$AE45,$AG45)</f>
        <v>0</v>
      </c>
      <c r="BR45" s="549">
        <f>SUM($AD45,$AF45,$AH45)</f>
        <v>0</v>
      </c>
      <c r="BS45" s="542">
        <f>SUM(BQ45,BR45)</f>
        <v>0</v>
      </c>
      <c r="BT45" s="549">
        <f>SUM($AE45,$AG45)</f>
        <v>0</v>
      </c>
      <c r="BU45" s="549">
        <f>SUM($AF45,$AH45)</f>
        <v>0</v>
      </c>
      <c r="BV45" s="542">
        <f>SUM(BT45,BU45)</f>
        <v>0</v>
      </c>
      <c r="BW45" s="549">
        <f>SUM($AG45)</f>
        <v>0</v>
      </c>
      <c r="BX45" s="549">
        <f>SUM($AH45)</f>
        <v>0</v>
      </c>
      <c r="BY45" s="542">
        <f>SUM(BW45,BX45)</f>
        <v>0</v>
      </c>
    </row>
    <row r="46" spans="1:77">
      <c r="A46" s="553" t="s">
        <v>315</v>
      </c>
      <c r="B46" s="554" t="str">
        <f>IF(WPF!I50=SUM(G46+I46+K46+M46+O46+Q46+S46+U46+W46+Y46+AA46+AC46+AE46+AG46),SUM(G46+I46+K46+M46+O46+Q46+S46+U46+W46+Y46+AA46+AC46+AE46+AG46),"popraw")</f>
        <v>popraw</v>
      </c>
      <c r="C46" s="555">
        <v>0</v>
      </c>
      <c r="D46" s="556">
        <v>0</v>
      </c>
      <c r="E46" s="543">
        <f t="shared" si="69"/>
        <v>1906886</v>
      </c>
      <c r="F46" s="544">
        <f t="shared" si="69"/>
        <v>624452.99</v>
      </c>
      <c r="G46" s="741"/>
      <c r="H46" s="742"/>
      <c r="I46" s="741"/>
      <c r="J46" s="742"/>
      <c r="K46" s="741"/>
      <c r="L46" s="742"/>
      <c r="M46" s="555"/>
      <c r="N46" s="556">
        <f>'obligacje 2014'!Y27</f>
        <v>90282.36</v>
      </c>
      <c r="O46" s="555"/>
      <c r="P46" s="556">
        <f>'obligacje 2014'!Y39</f>
        <v>90282.36</v>
      </c>
      <c r="Q46" s="555"/>
      <c r="R46" s="556">
        <f>'obligacje 2014'!Y51</f>
        <v>90282.36</v>
      </c>
      <c r="S46" s="555"/>
      <c r="T46" s="556">
        <f>'obligacje 2014'!Y63</f>
        <v>90282.36</v>
      </c>
      <c r="U46" s="555"/>
      <c r="V46" s="556">
        <f>'obligacje 2014'!Y75</f>
        <v>90282.36</v>
      </c>
      <c r="W46" s="555"/>
      <c r="X46" s="556">
        <f>'obligacje 2014'!Y87</f>
        <v>90282.36</v>
      </c>
      <c r="Y46" s="555">
        <v>1906886</v>
      </c>
      <c r="Z46" s="556">
        <f>'obligacje 2014'!Y99</f>
        <v>82758.83</v>
      </c>
      <c r="AA46" s="555"/>
      <c r="AB46" s="556">
        <f>'obligacje 2014'!Y111</f>
        <v>0</v>
      </c>
      <c r="AC46" s="555"/>
      <c r="AD46" s="556">
        <f>'obligacje 2014'!Y123</f>
        <v>0</v>
      </c>
      <c r="AE46" s="555"/>
      <c r="AF46" s="556">
        <f>'obligacje 2014'!Y135</f>
        <v>0</v>
      </c>
      <c r="AG46" s="555"/>
      <c r="AH46" s="556">
        <f>'obligacje 2014'!Y142</f>
        <v>0</v>
      </c>
      <c r="AK46" s="539" t="str">
        <f t="shared" si="64"/>
        <v>Obligacje 2014</v>
      </c>
      <c r="AL46" s="540"/>
      <c r="AM46" s="1443"/>
      <c r="AN46" s="1444"/>
      <c r="AO46" s="1445"/>
      <c r="AP46" s="1449"/>
      <c r="AQ46" s="1450"/>
      <c r="AR46" s="1451"/>
      <c r="AS46" s="474">
        <f>SUM($M46,$O46,$Q46,$S46,$U46,$W46,$Y46,$AA46,$AC46,$AE46,$AG46)</f>
        <v>1906886</v>
      </c>
      <c r="AT46" s="549">
        <f>SUM($N46,$P46,$R46,$T46,$V46,$X46,$Z46,$AB46,$AD46,$AF46,$AH46)</f>
        <v>624452.99</v>
      </c>
      <c r="AU46" s="542">
        <f>SUM(AS46,AT46)</f>
        <v>2531338.9900000002</v>
      </c>
      <c r="AV46" s="474">
        <f>SUM($O46,$Q46,$S46,$U46,$W46,$Y46,$AA46,$AC46,$AE46,$AG46)</f>
        <v>1906886</v>
      </c>
      <c r="AW46" s="549">
        <f>SUM($P46,$R46,$T46,$V46,$X46,$Z46,$AB46,$AD46,$AF46,$AH46)</f>
        <v>534170.63</v>
      </c>
      <c r="AX46" s="542">
        <f>SUM(AV46,AW46)</f>
        <v>2441056.63</v>
      </c>
      <c r="AY46" s="474">
        <f>SUM($Q46,$S46,$U46,$W46,$Y46,$AA46,$AC46,$AE46,$AG46)</f>
        <v>1906886</v>
      </c>
      <c r="AZ46" s="549">
        <f>SUM($R46,$T46,$V46,$X46,$Z46,$AB46,$AD46,$AF46,$AH46)</f>
        <v>443888.27</v>
      </c>
      <c r="BA46" s="542">
        <f>SUM(AY46,AZ46)</f>
        <v>2350774.27</v>
      </c>
      <c r="BB46" s="474">
        <f>SUM($S46,$U46,$W46,$Y46,$AA46,$AC46,$AE46,$AG46)</f>
        <v>1906886</v>
      </c>
      <c r="BC46" s="549">
        <f>SUM($T46,$V46,$X46,$Z46,$AB46,$AD46,$AF46,$AH46)</f>
        <v>353605.91000000003</v>
      </c>
      <c r="BD46" s="542">
        <f>SUM(BB46,BC46)</f>
        <v>2260491.91</v>
      </c>
      <c r="BE46" s="474">
        <f>SUM($U46,$W46,$Y46,$AA46,$AC46,$AE46,$AG46)</f>
        <v>1906886</v>
      </c>
      <c r="BF46" s="549">
        <f>SUM($V46,$X46,$Z46,$AB46,$AD46,$AF46,$AH46)</f>
        <v>263323.55</v>
      </c>
      <c r="BG46" s="542">
        <f>SUM(BE46,BF46)</f>
        <v>2170209.5499999998</v>
      </c>
      <c r="BH46" s="474">
        <f>SUM($W46,$Y46,$AA46,$AC46,$AE46,$AG46)</f>
        <v>1906886</v>
      </c>
      <c r="BI46" s="549">
        <f>SUM($X46,$Z46,$AB46,$AD46,$AF46,$AH46)</f>
        <v>173041.19</v>
      </c>
      <c r="BJ46" s="542">
        <f>SUM(BH46,BI46)</f>
        <v>2079927.19</v>
      </c>
      <c r="BK46" s="474">
        <f>SUM($Y46,$AA46,$AC46,$AE46,$AG46)</f>
        <v>1906886</v>
      </c>
      <c r="BL46" s="549">
        <f>SUM($Z46,$AB46,$AD46,$AF46,$AH46)</f>
        <v>82758.83</v>
      </c>
      <c r="BM46" s="542">
        <f>SUM(BK46,BL46)</f>
        <v>1989644.83</v>
      </c>
      <c r="BN46" s="474">
        <f>SUM($AA46,$AC46,$AE46,$AG46)</f>
        <v>0</v>
      </c>
      <c r="BO46" s="549">
        <f>SUM($AB46,$AD46,$AF46,$AH46)</f>
        <v>0</v>
      </c>
      <c r="BP46" s="542">
        <f>SUM(BN46,BO46)</f>
        <v>0</v>
      </c>
      <c r="BQ46" s="549">
        <f>SUM($AC46,$AE46,$AG46)</f>
        <v>0</v>
      </c>
      <c r="BR46" s="549">
        <f>SUM($AD46,$AF46,$AH46)</f>
        <v>0</v>
      </c>
      <c r="BS46" s="542">
        <f>SUM(BQ46,BR46)</f>
        <v>0</v>
      </c>
      <c r="BT46" s="549">
        <f>SUM($AE46,$AG46)</f>
        <v>0</v>
      </c>
      <c r="BU46" s="549">
        <f>SUM($AF46,$AH46)</f>
        <v>0</v>
      </c>
      <c r="BV46" s="542">
        <f>SUM(BT46,BU46)</f>
        <v>0</v>
      </c>
      <c r="BW46" s="549">
        <f>SUM($AG46)</f>
        <v>0</v>
      </c>
      <c r="BX46" s="549">
        <f>SUM($AH46)</f>
        <v>0</v>
      </c>
      <c r="BY46" s="542">
        <f>SUM(BW46,BX46)</f>
        <v>0</v>
      </c>
    </row>
    <row r="47" spans="1:77">
      <c r="A47" s="539" t="s">
        <v>316</v>
      </c>
      <c r="B47" s="554" t="str">
        <f>IF(SUM(G47+I47+K47+M47+O47+Q47+S47+U47+W47+Y47+AA47+AC47+AE47+AG47)=WPF!J50,SUM(G47+I47+K47+M47+O47+Q47+S47+U47+W47+Y47+AA47+AC47+AE47+AG47),"popraw")</f>
        <v>popraw</v>
      </c>
      <c r="C47" s="555"/>
      <c r="D47" s="556"/>
      <c r="E47" s="543">
        <f t="shared" si="69"/>
        <v>0</v>
      </c>
      <c r="F47" s="544">
        <f t="shared" si="69"/>
        <v>0</v>
      </c>
      <c r="G47" s="741"/>
      <c r="H47" s="742"/>
      <c r="I47" s="741"/>
      <c r="J47" s="742"/>
      <c r="K47" s="741"/>
      <c r="L47" s="742"/>
      <c r="M47" s="741"/>
      <c r="N47" s="742"/>
      <c r="O47" s="555"/>
      <c r="P47" s="556">
        <f>'obligacje 2015'!Y39</f>
        <v>0</v>
      </c>
      <c r="Q47" s="555"/>
      <c r="R47" s="556">
        <f>'obligacje 2015'!Y51</f>
        <v>0</v>
      </c>
      <c r="S47" s="555"/>
      <c r="T47" s="556">
        <f>'obligacje 2015'!Y63</f>
        <v>0</v>
      </c>
      <c r="U47" s="555"/>
      <c r="V47" s="556">
        <f>'obligacje 2015'!Y75</f>
        <v>0</v>
      </c>
      <c r="W47" s="555"/>
      <c r="X47" s="556">
        <f>'obligacje 2015'!Y87</f>
        <v>0</v>
      </c>
      <c r="Y47" s="555"/>
      <c r="Z47" s="556">
        <f>'obligacje 2015'!Y99</f>
        <v>0</v>
      </c>
      <c r="AA47" s="555"/>
      <c r="AB47" s="556">
        <f>'obligacje 2015'!Y111</f>
        <v>0</v>
      </c>
      <c r="AC47" s="555"/>
      <c r="AD47" s="556">
        <f>'obligacje 2015'!Y123</f>
        <v>0</v>
      </c>
      <c r="AE47" s="555"/>
      <c r="AF47" s="556">
        <f>'obligacje 2015'!Y135</f>
        <v>0</v>
      </c>
      <c r="AG47" s="555"/>
      <c r="AH47" s="556">
        <f>'obligacje 2015'!Y142</f>
        <v>0</v>
      </c>
      <c r="AK47" s="539" t="str">
        <f t="shared" si="64"/>
        <v>Obligacje 2015</v>
      </c>
      <c r="AL47" s="540"/>
      <c r="AM47" s="1443"/>
      <c r="AN47" s="1444"/>
      <c r="AO47" s="1445"/>
      <c r="AP47" s="1443"/>
      <c r="AQ47" s="1444"/>
      <c r="AR47" s="1445"/>
      <c r="AS47" s="1449"/>
      <c r="AT47" s="1450"/>
      <c r="AU47" s="1451"/>
      <c r="AV47" s="474">
        <f>SUM($O47,$Q47,$S47,$U47,$W47,$Y47,$AA47,$AC47,$AE47,$AG47)</f>
        <v>0</v>
      </c>
      <c r="AW47" s="549">
        <f>SUM($P47,$R47,$T47,$V47,$X47,$Z47,$AB47,$AD47,$AF47,$AH47)</f>
        <v>0</v>
      </c>
      <c r="AX47" s="542">
        <f>SUM(AV47,AW47)</f>
        <v>0</v>
      </c>
      <c r="AY47" s="474">
        <f>SUM($Q47,$S47,$U47,$W47,$Y47,$AA47,$AC47,$AE47,$AG47)</f>
        <v>0</v>
      </c>
      <c r="AZ47" s="549">
        <f>SUM($R47,$T47,$V47,$X47,$Z47,$AB47,$AD47,$AF47,$AH47)</f>
        <v>0</v>
      </c>
      <c r="BA47" s="542">
        <f>SUM(AY47,AZ47)</f>
        <v>0</v>
      </c>
      <c r="BB47" s="474">
        <f>SUM($S47,$U47,$W47,$Y47,$AA47,$AC47,$AE47,$AG47)</f>
        <v>0</v>
      </c>
      <c r="BC47" s="549">
        <f>SUM($T47,$V47,$X47,$Z47,$AB47,$AD47,$AF47,$AH47)</f>
        <v>0</v>
      </c>
      <c r="BD47" s="542">
        <f>SUM(BB47,BC47)</f>
        <v>0</v>
      </c>
      <c r="BE47" s="474">
        <f>SUM($U47,$W47,$Y47,$AA47,$AC47,$AE47,$AG47)</f>
        <v>0</v>
      </c>
      <c r="BF47" s="549">
        <f>SUM($V47,$X47,$Z47,$AB47,$AD47,$AF47,$AH47)</f>
        <v>0</v>
      </c>
      <c r="BG47" s="542">
        <f>SUM(BE47,BF47)</f>
        <v>0</v>
      </c>
      <c r="BH47" s="474">
        <f>SUM($W47,$Y47,$AA47,$AC47,$AE47,$AG47)</f>
        <v>0</v>
      </c>
      <c r="BI47" s="549">
        <f>SUM($X47,$Z47,$AB47,$AD47,$AF47,$AH47)</f>
        <v>0</v>
      </c>
      <c r="BJ47" s="542">
        <f>SUM(BH47,BI47)</f>
        <v>0</v>
      </c>
      <c r="BK47" s="474">
        <f>SUM($Y47,$AA47,$AC47,$AE47,$AG47)</f>
        <v>0</v>
      </c>
      <c r="BL47" s="549">
        <f>SUM($Z47,$AB47,$AD47,$AF47,$AH47)</f>
        <v>0</v>
      </c>
      <c r="BM47" s="542">
        <f>SUM(BK47,BL47)</f>
        <v>0</v>
      </c>
      <c r="BN47" s="474">
        <f>SUM($AA47,$AC47,$AE47,$AG47)</f>
        <v>0</v>
      </c>
      <c r="BO47" s="549">
        <f>SUM($AB47,$AD47,$AF47,$AH47)</f>
        <v>0</v>
      </c>
      <c r="BP47" s="542">
        <f>SUM(BN47,BO47)</f>
        <v>0</v>
      </c>
      <c r="BQ47" s="549">
        <f>SUM($AC47,$AE47,$AG47)</f>
        <v>0</v>
      </c>
      <c r="BR47" s="549">
        <f>SUM($AD47,$AF47,$AH47)</f>
        <v>0</v>
      </c>
      <c r="BS47" s="542">
        <f>SUM(BQ47,BR47)</f>
        <v>0</v>
      </c>
      <c r="BT47" s="549">
        <f>SUM($AE47,$AG47)</f>
        <v>0</v>
      </c>
      <c r="BU47" s="549">
        <f>SUM($AF47,$AH47)</f>
        <v>0</v>
      </c>
      <c r="BV47" s="542">
        <f>SUM(BT47,BU47)</f>
        <v>0</v>
      </c>
      <c r="BW47" s="549">
        <f>SUM($AG47)</f>
        <v>0</v>
      </c>
      <c r="BX47" s="549">
        <f>SUM($AH47)</f>
        <v>0</v>
      </c>
      <c r="BY47" s="542">
        <f>SUM(BW47,BX47)</f>
        <v>0</v>
      </c>
    </row>
    <row r="48" spans="1:77">
      <c r="A48" s="553" t="s">
        <v>317</v>
      </c>
      <c r="B48" s="554" t="str">
        <f>IF(SUM(G48+I48+K48+M48+O48+Q48+S48+U48+W48+Y48+AA48+AC48+AE48+AG48)=WPF!K50,SUM(G48+I48+K48+M48+O48+Q48+S48+U48+W48+Y48+AA48+AC48+AE48+AG48),"popraw")</f>
        <v>popraw</v>
      </c>
      <c r="C48" s="555"/>
      <c r="D48" s="556"/>
      <c r="E48" s="543">
        <f t="shared" si="69"/>
        <v>1618785</v>
      </c>
      <c r="F48" s="544">
        <f t="shared" si="69"/>
        <v>2822298.32</v>
      </c>
      <c r="G48" s="741"/>
      <c r="H48" s="742"/>
      <c r="I48" s="741"/>
      <c r="J48" s="742"/>
      <c r="K48" s="741"/>
      <c r="L48" s="742"/>
      <c r="M48" s="741"/>
      <c r="N48" s="742"/>
      <c r="O48" s="741"/>
      <c r="P48" s="742"/>
      <c r="Q48" s="555"/>
      <c r="R48" s="556">
        <f>'obligacje 2016'!Y51</f>
        <v>76642.079999999987</v>
      </c>
      <c r="S48" s="555"/>
      <c r="T48" s="556">
        <f>'obligacje 2016'!Y63</f>
        <v>76642.079999999987</v>
      </c>
      <c r="U48" s="555"/>
      <c r="V48" s="556">
        <f>'obligacje 2016'!Y75</f>
        <v>76642.079999999987</v>
      </c>
      <c r="W48" s="555"/>
      <c r="X48" s="556">
        <f>'obligacje 2016'!Y87</f>
        <v>76642.079999999987</v>
      </c>
      <c r="Y48" s="555">
        <v>360920</v>
      </c>
      <c r="Z48" s="555">
        <v>1257865</v>
      </c>
      <c r="AA48" s="555">
        <v>1257865</v>
      </c>
      <c r="AB48" s="555">
        <v>1257865</v>
      </c>
      <c r="AC48" s="555"/>
      <c r="AD48" s="556">
        <f>'obligacje 2016'!Y123</f>
        <v>0</v>
      </c>
      <c r="AE48" s="555"/>
      <c r="AF48" s="556">
        <f>'obligacje 2016'!Y135</f>
        <v>0</v>
      </c>
      <c r="AG48" s="555"/>
      <c r="AH48" s="556">
        <f>'obligacje 2016'!Y142</f>
        <v>0</v>
      </c>
      <c r="AK48" s="539" t="str">
        <f t="shared" si="64"/>
        <v>Obligacje 2016</v>
      </c>
      <c r="AL48" s="540"/>
      <c r="AM48" s="1443"/>
      <c r="AN48" s="1444"/>
      <c r="AO48" s="1445"/>
      <c r="AP48" s="1443"/>
      <c r="AQ48" s="1444"/>
      <c r="AR48" s="1445"/>
      <c r="AS48" s="1443"/>
      <c r="AT48" s="1444"/>
      <c r="AU48" s="1445"/>
      <c r="AV48" s="1449"/>
      <c r="AW48" s="1450"/>
      <c r="AX48" s="1451"/>
      <c r="AY48" s="474">
        <f>SUM($Q48,$S48,$U48,$W48,$Y48,$AA48,$AC48,$AE48,$AG48)</f>
        <v>1618785</v>
      </c>
      <c r="AZ48" s="549">
        <f>SUM($R48,$T48,$V48,$X48,$Z48,$AB48,$AD48,$AF48,$AH48)</f>
        <v>2822298.32</v>
      </c>
      <c r="BA48" s="542">
        <f>SUM(AY48,AZ48)</f>
        <v>4441083.32</v>
      </c>
      <c r="BB48" s="474">
        <f t="shared" ref="BB48:BB49" si="72">SUM($S48,$U48,$W48,$Y48,$AA48,$AC48,$AE48,$AG48)</f>
        <v>1618785</v>
      </c>
      <c r="BC48" s="549">
        <f t="shared" ref="BC48:BC49" si="73">SUM($T48,$V48,$X48,$Z48,$AB48,$AD48,$AF48,$AH48)</f>
        <v>2745656.24</v>
      </c>
      <c r="BD48" s="542">
        <f t="shared" ref="BD48:BD49" si="74">SUM(BB48,BC48)</f>
        <v>4364441.24</v>
      </c>
      <c r="BE48" s="474">
        <f t="shared" ref="BE48:BE50" si="75">SUM($U48,$W48,$Y48,$AA48,$AC48,$AE48,$AG48)</f>
        <v>1618785</v>
      </c>
      <c r="BF48" s="549">
        <f t="shared" ref="BF48:BF50" si="76">SUM($V48,$X48,$Z48,$AB48,$AD48,$AF48,$AH48)</f>
        <v>2669014.16</v>
      </c>
      <c r="BG48" s="542">
        <f t="shared" ref="BG48:BG50" si="77">SUM(BE48,BF48)</f>
        <v>4287799.16</v>
      </c>
      <c r="BH48" s="474">
        <f t="shared" ref="BH48:BH51" si="78">SUM($W48,$Y48,$AA48,$AC48,$AE48,$AG48)</f>
        <v>1618785</v>
      </c>
      <c r="BI48" s="549">
        <f t="shared" ref="BI48:BI51" si="79">SUM($X48,$Z48,$AB48,$AD48,$AF48,$AH48)</f>
        <v>2592372.08</v>
      </c>
      <c r="BJ48" s="542">
        <f t="shared" ref="BJ48:BJ51" si="80">SUM(BH48,BI48)</f>
        <v>4211157.08</v>
      </c>
      <c r="BK48" s="474">
        <f t="shared" ref="BK48:BK52" si="81">SUM($Y48,$AA48,$AC48,$AE48,$AG48)</f>
        <v>1618785</v>
      </c>
      <c r="BL48" s="549">
        <f t="shared" ref="BL48:BL52" si="82">SUM($Z48,$AB48,$AD48,$AF48,$AH48)</f>
        <v>2515730</v>
      </c>
      <c r="BM48" s="542">
        <f t="shared" ref="BM48:BM52" si="83">SUM(BK48,BL48)</f>
        <v>4134515</v>
      </c>
      <c r="BN48" s="474">
        <f t="shared" ref="BN48:BN53" si="84">SUM($AA48,$AC48,$AE48,$AG48)</f>
        <v>1257865</v>
      </c>
      <c r="BO48" s="549">
        <f t="shared" ref="BO48:BO53" si="85">SUM($AB48,$AD48,$AF48,$AH48)</f>
        <v>1257865</v>
      </c>
      <c r="BP48" s="542">
        <f t="shared" ref="BP48:BP53" si="86">SUM(BN48,BO48)</f>
        <v>2515730</v>
      </c>
      <c r="BQ48" s="549">
        <f t="shared" ref="BQ48:BQ54" si="87">SUM($AC48,$AE48,$AG48)</f>
        <v>0</v>
      </c>
      <c r="BR48" s="549">
        <f t="shared" ref="BR48:BR54" si="88">SUM($AD48,$AF48,$AH48)</f>
        <v>0</v>
      </c>
      <c r="BS48" s="542">
        <f t="shared" ref="BS48:BS54" si="89">SUM(BQ48,BR48)</f>
        <v>0</v>
      </c>
      <c r="BT48" s="549">
        <f t="shared" ref="BT48:BT55" si="90">SUM($AE48,$AG48)</f>
        <v>0</v>
      </c>
      <c r="BU48" s="549">
        <f t="shared" ref="BU48:BU55" si="91">SUM($AF48,$AH48)</f>
        <v>0</v>
      </c>
      <c r="BV48" s="542">
        <f t="shared" ref="BV48:BV55" si="92">SUM(BT48,BU48)</f>
        <v>0</v>
      </c>
      <c r="BW48" s="549">
        <f t="shared" ref="BW48:BW56" si="93">SUM($AG48)</f>
        <v>0</v>
      </c>
      <c r="BX48" s="549">
        <f t="shared" ref="BX48:BX56" si="94">SUM($AH48)</f>
        <v>0</v>
      </c>
      <c r="BY48" s="542">
        <f t="shared" ref="BY48:BY56" si="95">SUM(BW48,BX48)</f>
        <v>0</v>
      </c>
    </row>
    <row r="49" spans="1:77">
      <c r="A49" s="539" t="s">
        <v>318</v>
      </c>
      <c r="B49" s="554" t="str">
        <f>IF(SUM(G49+I49+K49+M49+O49+Q49+S49+U49+W49+Y49+AA49+AC49+AE49+AG49)=WPF!L50,SUM(G49+I49+K49+M49+O49+Q49+S49+U49+W49+Y49+AA49+AC49+AE49+AG49),"popraw")</f>
        <v>popraw</v>
      </c>
      <c r="C49" s="555"/>
      <c r="D49" s="556"/>
      <c r="E49" s="543">
        <f t="shared" si="69"/>
        <v>1589473</v>
      </c>
      <c r="F49" s="544">
        <f t="shared" si="69"/>
        <v>370000.21000000008</v>
      </c>
      <c r="G49" s="741"/>
      <c r="H49" s="742"/>
      <c r="I49" s="741"/>
      <c r="J49" s="742"/>
      <c r="K49" s="741"/>
      <c r="L49" s="742"/>
      <c r="M49" s="741"/>
      <c r="N49" s="742"/>
      <c r="O49" s="741"/>
      <c r="P49" s="742"/>
      <c r="Q49" s="741"/>
      <c r="R49" s="742"/>
      <c r="S49" s="555"/>
      <c r="T49" s="556">
        <f>'obligacje 2017'!Y63</f>
        <v>75254.280000000013</v>
      </c>
      <c r="U49" s="555"/>
      <c r="V49" s="556">
        <f>'obligacje 2017'!Y75</f>
        <v>75254.280000000013</v>
      </c>
      <c r="W49" s="555"/>
      <c r="X49" s="556">
        <f>'obligacje 2017'!Y87</f>
        <v>75254.280000000013</v>
      </c>
      <c r="Y49" s="555"/>
      <c r="Z49" s="556">
        <f>'obligacje 2017'!Y99</f>
        <v>75254.280000000013</v>
      </c>
      <c r="AA49" s="555">
        <v>1589473</v>
      </c>
      <c r="AB49" s="556">
        <f>'obligacje 2017'!Y111</f>
        <v>68983.090000000011</v>
      </c>
      <c r="AC49" s="555"/>
      <c r="AD49" s="556">
        <f>'obligacje 2017'!Y123</f>
        <v>0</v>
      </c>
      <c r="AE49" s="555"/>
      <c r="AF49" s="556">
        <f>'obligacje 2017'!Y135</f>
        <v>0</v>
      </c>
      <c r="AG49" s="555"/>
      <c r="AH49" s="556">
        <f>'obligacje 2017'!Y142</f>
        <v>0</v>
      </c>
      <c r="AK49" s="539" t="str">
        <f t="shared" si="64"/>
        <v>Obligacje 2017</v>
      </c>
      <c r="AL49" s="540"/>
      <c r="AM49" s="1443"/>
      <c r="AN49" s="1444"/>
      <c r="AO49" s="1445"/>
      <c r="AP49" s="1443"/>
      <c r="AQ49" s="1444"/>
      <c r="AR49" s="1445"/>
      <c r="AS49" s="1443"/>
      <c r="AT49" s="1444"/>
      <c r="AU49" s="1445"/>
      <c r="AV49" s="1443"/>
      <c r="AW49" s="1444"/>
      <c r="AX49" s="1445"/>
      <c r="AY49" s="1449"/>
      <c r="AZ49" s="1450"/>
      <c r="BA49" s="1450"/>
      <c r="BB49" s="474">
        <f t="shared" si="72"/>
        <v>1589473</v>
      </c>
      <c r="BC49" s="549">
        <f t="shared" si="73"/>
        <v>370000.21000000008</v>
      </c>
      <c r="BD49" s="542">
        <f t="shared" si="74"/>
        <v>1959473.21</v>
      </c>
      <c r="BE49" s="474">
        <f t="shared" si="75"/>
        <v>1589473</v>
      </c>
      <c r="BF49" s="549">
        <f t="shared" si="76"/>
        <v>294745.93000000005</v>
      </c>
      <c r="BG49" s="542">
        <f t="shared" si="77"/>
        <v>1884218.9300000002</v>
      </c>
      <c r="BH49" s="474">
        <f t="shared" si="78"/>
        <v>1589473</v>
      </c>
      <c r="BI49" s="549">
        <f t="shared" si="79"/>
        <v>219491.65000000002</v>
      </c>
      <c r="BJ49" s="542">
        <f t="shared" si="80"/>
        <v>1808964.65</v>
      </c>
      <c r="BK49" s="474">
        <f t="shared" si="81"/>
        <v>1589473</v>
      </c>
      <c r="BL49" s="549">
        <f t="shared" si="82"/>
        <v>144237.37000000002</v>
      </c>
      <c r="BM49" s="542">
        <f t="shared" si="83"/>
        <v>1733710.37</v>
      </c>
      <c r="BN49" s="474">
        <f t="shared" si="84"/>
        <v>1589473</v>
      </c>
      <c r="BO49" s="549">
        <f t="shared" si="85"/>
        <v>68983.090000000011</v>
      </c>
      <c r="BP49" s="542">
        <f t="shared" si="86"/>
        <v>1658456.09</v>
      </c>
      <c r="BQ49" s="549">
        <f t="shared" si="87"/>
        <v>0</v>
      </c>
      <c r="BR49" s="549">
        <f t="shared" si="88"/>
        <v>0</v>
      </c>
      <c r="BS49" s="542">
        <f t="shared" si="89"/>
        <v>0</v>
      </c>
      <c r="BT49" s="549">
        <f t="shared" si="90"/>
        <v>0</v>
      </c>
      <c r="BU49" s="549">
        <f t="shared" si="91"/>
        <v>0</v>
      </c>
      <c r="BV49" s="542">
        <f t="shared" si="92"/>
        <v>0</v>
      </c>
      <c r="BW49" s="549">
        <f t="shared" si="93"/>
        <v>0</v>
      </c>
      <c r="BX49" s="549">
        <f t="shared" si="94"/>
        <v>0</v>
      </c>
      <c r="BY49" s="542">
        <f t="shared" si="95"/>
        <v>0</v>
      </c>
    </row>
    <row r="50" spans="1:77">
      <c r="A50" s="553" t="s">
        <v>319</v>
      </c>
      <c r="B50" s="554" t="str">
        <f>IF(SUM(G50+I50+K50+M50+O50+Q50+S50+U50+W50+Y50+AA50+AC50+AE50+AG50)=WPF!M50,SUM(G50+I50+K50+M50+O50+Q50+S50+U50+W50+Y50+AA50+AC50+AE50+AG50),"popraw")</f>
        <v>popraw</v>
      </c>
      <c r="C50" s="555"/>
      <c r="D50" s="556"/>
      <c r="E50" s="543">
        <f t="shared" si="69"/>
        <v>1538478</v>
      </c>
      <c r="F50" s="544">
        <f t="shared" si="69"/>
        <v>285290</v>
      </c>
      <c r="G50" s="741"/>
      <c r="H50" s="742"/>
      <c r="I50" s="741"/>
      <c r="J50" s="742"/>
      <c r="K50" s="741"/>
      <c r="L50" s="742"/>
      <c r="M50" s="741"/>
      <c r="N50" s="742"/>
      <c r="O50" s="741"/>
      <c r="P50" s="742"/>
      <c r="Q50" s="741"/>
      <c r="R50" s="742"/>
      <c r="S50" s="741"/>
      <c r="T50" s="742"/>
      <c r="U50" s="555"/>
      <c r="V50" s="556">
        <f>'obligacje 2018'!Y75</f>
        <v>72840</v>
      </c>
      <c r="W50" s="555"/>
      <c r="X50" s="556">
        <f>'obligacje 2018'!Y87</f>
        <v>72840</v>
      </c>
      <c r="Y50" s="555"/>
      <c r="Z50" s="556">
        <f>'obligacje 2018'!Y99</f>
        <v>72840</v>
      </c>
      <c r="AA50" s="555">
        <v>1538478</v>
      </c>
      <c r="AB50" s="556">
        <f>'obligacje 2018'!Y111</f>
        <v>66770</v>
      </c>
      <c r="AC50" s="555"/>
      <c r="AD50" s="556">
        <f>'obligacje 2018'!Y123</f>
        <v>0</v>
      </c>
      <c r="AE50" s="555"/>
      <c r="AF50" s="556">
        <f>'obligacje 2018'!Y135</f>
        <v>0</v>
      </c>
      <c r="AG50" s="555"/>
      <c r="AH50" s="556">
        <f>'obligacje 2018'!Y142</f>
        <v>0</v>
      </c>
      <c r="AK50" s="539" t="str">
        <f t="shared" si="64"/>
        <v>Obligacje 2018</v>
      </c>
      <c r="AL50" s="540"/>
      <c r="AM50" s="1443"/>
      <c r="AN50" s="1444"/>
      <c r="AO50" s="1445"/>
      <c r="AP50" s="1443"/>
      <c r="AQ50" s="1444"/>
      <c r="AR50" s="1445"/>
      <c r="AS50" s="1443"/>
      <c r="AT50" s="1444"/>
      <c r="AU50" s="1445"/>
      <c r="AV50" s="1443"/>
      <c r="AW50" s="1444"/>
      <c r="AX50" s="1445"/>
      <c r="AY50" s="1443"/>
      <c r="AZ50" s="1444"/>
      <c r="BA50" s="1444"/>
      <c r="BB50" s="1455"/>
      <c r="BC50" s="1450"/>
      <c r="BD50" s="1450"/>
      <c r="BE50" s="474">
        <f t="shared" si="75"/>
        <v>1538478</v>
      </c>
      <c r="BF50" s="549">
        <f t="shared" si="76"/>
        <v>285290</v>
      </c>
      <c r="BG50" s="542">
        <f t="shared" si="77"/>
        <v>1823768</v>
      </c>
      <c r="BH50" s="474">
        <f t="shared" si="78"/>
        <v>1538478</v>
      </c>
      <c r="BI50" s="549">
        <f t="shared" si="79"/>
        <v>212450</v>
      </c>
      <c r="BJ50" s="542">
        <f t="shared" si="80"/>
        <v>1750928</v>
      </c>
      <c r="BK50" s="474">
        <f t="shared" si="81"/>
        <v>1538478</v>
      </c>
      <c r="BL50" s="549">
        <f t="shared" si="82"/>
        <v>139610</v>
      </c>
      <c r="BM50" s="542">
        <f t="shared" si="83"/>
        <v>1678088</v>
      </c>
      <c r="BN50" s="474">
        <f t="shared" si="84"/>
        <v>1538478</v>
      </c>
      <c r="BO50" s="549">
        <f t="shared" si="85"/>
        <v>66770</v>
      </c>
      <c r="BP50" s="542">
        <f t="shared" si="86"/>
        <v>1605248</v>
      </c>
      <c r="BQ50" s="549">
        <f t="shared" si="87"/>
        <v>0</v>
      </c>
      <c r="BR50" s="549">
        <f t="shared" si="88"/>
        <v>0</v>
      </c>
      <c r="BS50" s="542">
        <f t="shared" si="89"/>
        <v>0</v>
      </c>
      <c r="BT50" s="549">
        <f t="shared" si="90"/>
        <v>0</v>
      </c>
      <c r="BU50" s="549">
        <f t="shared" si="91"/>
        <v>0</v>
      </c>
      <c r="BV50" s="542">
        <f t="shared" si="92"/>
        <v>0</v>
      </c>
      <c r="BW50" s="549">
        <f t="shared" si="93"/>
        <v>0</v>
      </c>
      <c r="BX50" s="549">
        <f t="shared" si="94"/>
        <v>0</v>
      </c>
      <c r="BY50" s="542">
        <f t="shared" si="95"/>
        <v>0</v>
      </c>
    </row>
    <row r="51" spans="1:77">
      <c r="A51" s="539" t="s">
        <v>320</v>
      </c>
      <c r="B51" s="554" t="str">
        <f>IF(SUM(G51+I51+K51+M51+O51+Q51+S51+U51+W51+Y51+AA51+AC51+AE51+AG51)=WPF!N50,SUM(G51+I51+K51+M51+O51+Q51+S51+U51+W51+Y51+AA51+AC51+AE51+AG51),"popraw")</f>
        <v>popraw</v>
      </c>
      <c r="C51" s="555"/>
      <c r="D51" s="556"/>
      <c r="E51" s="543">
        <f t="shared" si="69"/>
        <v>1941660</v>
      </c>
      <c r="F51" s="544">
        <f t="shared" si="69"/>
        <v>283630.02999999991</v>
      </c>
      <c r="G51" s="741"/>
      <c r="H51" s="742"/>
      <c r="I51" s="741"/>
      <c r="J51" s="742"/>
      <c r="K51" s="741"/>
      <c r="L51" s="742"/>
      <c r="M51" s="741"/>
      <c r="N51" s="742"/>
      <c r="O51" s="741"/>
      <c r="P51" s="742"/>
      <c r="Q51" s="741"/>
      <c r="R51" s="742"/>
      <c r="S51" s="741"/>
      <c r="T51" s="742"/>
      <c r="U51" s="741"/>
      <c r="V51" s="742"/>
      <c r="W51" s="555"/>
      <c r="X51" s="556">
        <f>'obligacje 2019'!Y87</f>
        <v>91928.759999999966</v>
      </c>
      <c r="Y51" s="555"/>
      <c r="Z51" s="556">
        <f>'obligacje 2019'!Y99</f>
        <v>91928.759999999966</v>
      </c>
      <c r="AA51" s="555">
        <v>1614184</v>
      </c>
      <c r="AB51" s="556">
        <f>'obligacje 2019'!Y111</f>
        <v>85560.069999999963</v>
      </c>
      <c r="AC51" s="555">
        <v>327476</v>
      </c>
      <c r="AD51" s="556">
        <f>'obligacje 2019'!Y123</f>
        <v>14212.440000000002</v>
      </c>
      <c r="AE51" s="555"/>
      <c r="AF51" s="556">
        <f>'obligacje 2019'!Y135</f>
        <v>0</v>
      </c>
      <c r="AG51" s="555"/>
      <c r="AH51" s="556">
        <f>'obligacje 2019'!Y142</f>
        <v>0</v>
      </c>
      <c r="AK51" s="539" t="str">
        <f t="shared" si="64"/>
        <v>Obligacje 2019</v>
      </c>
      <c r="AL51" s="540"/>
      <c r="AM51" s="1443"/>
      <c r="AN51" s="1444"/>
      <c r="AO51" s="1445"/>
      <c r="AP51" s="1443"/>
      <c r="AQ51" s="1444"/>
      <c r="AR51" s="1445"/>
      <c r="AS51" s="1443"/>
      <c r="AT51" s="1444"/>
      <c r="AU51" s="1445"/>
      <c r="AV51" s="1443"/>
      <c r="AW51" s="1444"/>
      <c r="AX51" s="1445"/>
      <c r="AY51" s="1443"/>
      <c r="AZ51" s="1444"/>
      <c r="BA51" s="1444"/>
      <c r="BB51" s="1457"/>
      <c r="BC51" s="1444"/>
      <c r="BD51" s="1444"/>
      <c r="BE51" s="1455"/>
      <c r="BF51" s="1450"/>
      <c r="BG51" s="1450"/>
      <c r="BH51" s="474">
        <f t="shared" si="78"/>
        <v>1941660</v>
      </c>
      <c r="BI51" s="549">
        <f t="shared" si="79"/>
        <v>283630.02999999991</v>
      </c>
      <c r="BJ51" s="542">
        <f t="shared" si="80"/>
        <v>2225290.0299999998</v>
      </c>
      <c r="BK51" s="474">
        <f t="shared" si="81"/>
        <v>1941660</v>
      </c>
      <c r="BL51" s="549">
        <f t="shared" si="82"/>
        <v>191701.26999999993</v>
      </c>
      <c r="BM51" s="542">
        <f t="shared" si="83"/>
        <v>2133361.27</v>
      </c>
      <c r="BN51" s="474">
        <f t="shared" si="84"/>
        <v>1941660</v>
      </c>
      <c r="BO51" s="549">
        <f t="shared" si="85"/>
        <v>99772.509999999966</v>
      </c>
      <c r="BP51" s="542">
        <f t="shared" si="86"/>
        <v>2041432.51</v>
      </c>
      <c r="BQ51" s="549">
        <f t="shared" si="87"/>
        <v>327476</v>
      </c>
      <c r="BR51" s="549">
        <f t="shared" si="88"/>
        <v>14212.440000000002</v>
      </c>
      <c r="BS51" s="542">
        <f t="shared" si="89"/>
        <v>341688.44</v>
      </c>
      <c r="BT51" s="549">
        <f t="shared" si="90"/>
        <v>0</v>
      </c>
      <c r="BU51" s="549">
        <f t="shared" si="91"/>
        <v>0</v>
      </c>
      <c r="BV51" s="542">
        <f t="shared" si="92"/>
        <v>0</v>
      </c>
      <c r="BW51" s="549">
        <f t="shared" si="93"/>
        <v>0</v>
      </c>
      <c r="BX51" s="549">
        <f t="shared" si="94"/>
        <v>0</v>
      </c>
      <c r="BY51" s="542">
        <f t="shared" si="95"/>
        <v>0</v>
      </c>
    </row>
    <row r="52" spans="1:77">
      <c r="A52" s="553" t="s">
        <v>321</v>
      </c>
      <c r="B52" s="554" t="str">
        <f>IF(SUM(G52+I52+K52+M52+O52+Q52+S52+U52+W52+Y52+AA52+AC52+AE52+AG52)=WPF!O50,SUM(G52+I52+K52+M52+O52+Q52+S52+U52+W52+Y52+AA52+AC52+AE52+AG52),"popraw")</f>
        <v>popraw</v>
      </c>
      <c r="C52" s="555"/>
      <c r="D52" s="556"/>
      <c r="E52" s="543">
        <f t="shared" si="69"/>
        <v>1921317</v>
      </c>
      <c r="F52" s="544">
        <f t="shared" si="69"/>
        <v>265316.45</v>
      </c>
      <c r="G52" s="741"/>
      <c r="H52" s="742"/>
      <c r="I52" s="741"/>
      <c r="J52" s="742"/>
      <c r="K52" s="741"/>
      <c r="L52" s="742"/>
      <c r="M52" s="741"/>
      <c r="N52" s="742"/>
      <c r="O52" s="741"/>
      <c r="P52" s="742"/>
      <c r="Q52" s="741"/>
      <c r="R52" s="742"/>
      <c r="S52" s="741"/>
      <c r="T52" s="742"/>
      <c r="U52" s="741"/>
      <c r="V52" s="742"/>
      <c r="W52" s="741"/>
      <c r="X52" s="742"/>
      <c r="Y52" s="555"/>
      <c r="Z52" s="556">
        <f>'obligacje 2020'!Y99</f>
        <v>90965.64</v>
      </c>
      <c r="AA52" s="555"/>
      <c r="AB52" s="556">
        <f>'obligacje 2020'!Y111</f>
        <v>90965.64</v>
      </c>
      <c r="AC52" s="555">
        <v>1921317</v>
      </c>
      <c r="AD52" s="556">
        <f>'obligacje 2020'!Y123</f>
        <v>83385.17</v>
      </c>
      <c r="AE52" s="555"/>
      <c r="AF52" s="556">
        <f>'obligacje 2020'!Y1345</f>
        <v>0</v>
      </c>
      <c r="AG52" s="555"/>
      <c r="AH52" s="556">
        <f>'obligacje 2020'!Y142</f>
        <v>0</v>
      </c>
      <c r="AK52" s="539" t="str">
        <f t="shared" si="64"/>
        <v>Obligacje 2020</v>
      </c>
      <c r="AL52" s="540"/>
      <c r="AM52" s="1443"/>
      <c r="AN52" s="1444"/>
      <c r="AO52" s="1445"/>
      <c r="AP52" s="1443"/>
      <c r="AQ52" s="1444"/>
      <c r="AR52" s="1445"/>
      <c r="AS52" s="1443"/>
      <c r="AT52" s="1444"/>
      <c r="AU52" s="1445"/>
      <c r="AV52" s="1443"/>
      <c r="AW52" s="1444"/>
      <c r="AX52" s="1445"/>
      <c r="AY52" s="1443"/>
      <c r="AZ52" s="1444"/>
      <c r="BA52" s="1444"/>
      <c r="BB52" s="1457"/>
      <c r="BC52" s="1444"/>
      <c r="BD52" s="1444"/>
      <c r="BE52" s="1457"/>
      <c r="BF52" s="1444"/>
      <c r="BG52" s="1444"/>
      <c r="BH52" s="1455"/>
      <c r="BI52" s="1450"/>
      <c r="BJ52" s="1450"/>
      <c r="BK52" s="474">
        <f t="shared" si="81"/>
        <v>1921317</v>
      </c>
      <c r="BL52" s="549">
        <f t="shared" si="82"/>
        <v>265316.45</v>
      </c>
      <c r="BM52" s="542">
        <f t="shared" si="83"/>
        <v>2186633.4500000002</v>
      </c>
      <c r="BN52" s="474">
        <f t="shared" si="84"/>
        <v>1921317</v>
      </c>
      <c r="BO52" s="549">
        <f t="shared" si="85"/>
        <v>174350.81</v>
      </c>
      <c r="BP52" s="542">
        <f t="shared" si="86"/>
        <v>2095667.81</v>
      </c>
      <c r="BQ52" s="549">
        <f t="shared" si="87"/>
        <v>1921317</v>
      </c>
      <c r="BR52" s="549">
        <f t="shared" si="88"/>
        <v>83385.17</v>
      </c>
      <c r="BS52" s="542">
        <f t="shared" si="89"/>
        <v>2004702.17</v>
      </c>
      <c r="BT52" s="549">
        <f t="shared" si="90"/>
        <v>0</v>
      </c>
      <c r="BU52" s="549">
        <f t="shared" si="91"/>
        <v>0</v>
      </c>
      <c r="BV52" s="542">
        <f t="shared" si="92"/>
        <v>0</v>
      </c>
      <c r="BW52" s="549">
        <f t="shared" si="93"/>
        <v>0</v>
      </c>
      <c r="BX52" s="549">
        <f t="shared" si="94"/>
        <v>0</v>
      </c>
      <c r="BY52" s="542">
        <f t="shared" si="95"/>
        <v>0</v>
      </c>
    </row>
    <row r="53" spans="1:77">
      <c r="A53" s="539" t="s">
        <v>322</v>
      </c>
      <c r="B53" s="554" t="str">
        <f>IF(SUM(G53+I53+K53+M53+O53+Q53+S53+U53+W53+Y53+AA53+AC53+AE53+AG53)=WPF!P50,SUM(G53+I53+K53+M53+O53+Q53+S53+U53+W53+Y53+AA53+AC53+AE53+AG53),"popraw")</f>
        <v>popraw</v>
      </c>
      <c r="C53" s="555"/>
      <c r="D53" s="556"/>
      <c r="E53" s="543">
        <f t="shared" si="69"/>
        <v>1921317</v>
      </c>
      <c r="F53" s="544">
        <f t="shared" si="69"/>
        <v>174350.81</v>
      </c>
      <c r="G53" s="741"/>
      <c r="H53" s="742"/>
      <c r="I53" s="741"/>
      <c r="J53" s="742"/>
      <c r="K53" s="741"/>
      <c r="L53" s="742"/>
      <c r="M53" s="741"/>
      <c r="N53" s="742"/>
      <c r="O53" s="741"/>
      <c r="P53" s="742"/>
      <c r="Q53" s="741"/>
      <c r="R53" s="742"/>
      <c r="S53" s="741"/>
      <c r="T53" s="742"/>
      <c r="U53" s="741"/>
      <c r="V53" s="742"/>
      <c r="W53" s="741"/>
      <c r="X53" s="742"/>
      <c r="Y53" s="741"/>
      <c r="Z53" s="742"/>
      <c r="AA53" s="555"/>
      <c r="AB53" s="556">
        <f>'obligacje 2021'!Y111</f>
        <v>90965.64</v>
      </c>
      <c r="AC53" s="555">
        <v>1921317</v>
      </c>
      <c r="AD53" s="556">
        <f>'obligacje 2021'!Y123</f>
        <v>83385.17</v>
      </c>
      <c r="AE53" s="555"/>
      <c r="AF53" s="556">
        <f>'obligacje 2021'!Y135</f>
        <v>0</v>
      </c>
      <c r="AG53" s="555"/>
      <c r="AH53" s="556">
        <f>'obligacje 2021'!Y142</f>
        <v>0</v>
      </c>
      <c r="AK53" s="539" t="str">
        <f t="shared" si="64"/>
        <v>Obligacje 2021</v>
      </c>
      <c r="AL53" s="540"/>
      <c r="AM53" s="1443"/>
      <c r="AN53" s="1444"/>
      <c r="AO53" s="1445"/>
      <c r="AP53" s="1443"/>
      <c r="AQ53" s="1444"/>
      <c r="AR53" s="1445"/>
      <c r="AS53" s="1443"/>
      <c r="AT53" s="1444"/>
      <c r="AU53" s="1445"/>
      <c r="AV53" s="1443"/>
      <c r="AW53" s="1444"/>
      <c r="AX53" s="1445"/>
      <c r="AY53" s="1443"/>
      <c r="AZ53" s="1444"/>
      <c r="BA53" s="1444"/>
      <c r="BB53" s="1457"/>
      <c r="BC53" s="1444"/>
      <c r="BD53" s="1444"/>
      <c r="BE53" s="1457"/>
      <c r="BF53" s="1444"/>
      <c r="BG53" s="1444"/>
      <c r="BH53" s="1457"/>
      <c r="BI53" s="1444"/>
      <c r="BJ53" s="1444"/>
      <c r="BK53" s="1455"/>
      <c r="BL53" s="1450"/>
      <c r="BM53" s="1450"/>
      <c r="BN53" s="474">
        <f t="shared" si="84"/>
        <v>1921317</v>
      </c>
      <c r="BO53" s="549">
        <f t="shared" si="85"/>
        <v>174350.81</v>
      </c>
      <c r="BP53" s="542">
        <f t="shared" si="86"/>
        <v>2095667.81</v>
      </c>
      <c r="BQ53" s="549">
        <f t="shared" si="87"/>
        <v>1921317</v>
      </c>
      <c r="BR53" s="549">
        <f t="shared" si="88"/>
        <v>83385.17</v>
      </c>
      <c r="BS53" s="542">
        <f t="shared" si="89"/>
        <v>2004702.17</v>
      </c>
      <c r="BT53" s="549">
        <f t="shared" si="90"/>
        <v>0</v>
      </c>
      <c r="BU53" s="549">
        <f t="shared" si="91"/>
        <v>0</v>
      </c>
      <c r="BV53" s="542">
        <f t="shared" si="92"/>
        <v>0</v>
      </c>
      <c r="BW53" s="549">
        <f t="shared" si="93"/>
        <v>0</v>
      </c>
      <c r="BX53" s="549">
        <f t="shared" si="94"/>
        <v>0</v>
      </c>
      <c r="BY53" s="542">
        <f t="shared" si="95"/>
        <v>0</v>
      </c>
    </row>
    <row r="54" spans="1:77">
      <c r="A54" s="553" t="s">
        <v>323</v>
      </c>
      <c r="B54" s="554" t="str">
        <f>IF(SUM(G54+I54+K54+M54+O54+Q54+S54+U54+W54+Y54+AA54+AC54+AE54+AG54)=WPF!Q50,SUM(G54+I54+K54+M54+O54+Q54+S54+U54+W54+Y54+AA54+AC54+AE54+AG54),"popraw")</f>
        <v>popraw</v>
      </c>
      <c r="C54" s="555"/>
      <c r="D54" s="556"/>
      <c r="E54" s="543">
        <f t="shared" si="69"/>
        <v>2421317</v>
      </c>
      <c r="F54" s="544">
        <f t="shared" si="69"/>
        <v>133086.59999999998</v>
      </c>
      <c r="G54" s="741"/>
      <c r="H54" s="742"/>
      <c r="I54" s="741"/>
      <c r="J54" s="742"/>
      <c r="K54" s="741"/>
      <c r="L54" s="742"/>
      <c r="M54" s="741"/>
      <c r="N54" s="742"/>
      <c r="O54" s="741"/>
      <c r="P54" s="742"/>
      <c r="Q54" s="741"/>
      <c r="R54" s="742"/>
      <c r="S54" s="741"/>
      <c r="T54" s="742"/>
      <c r="U54" s="741"/>
      <c r="V54" s="742"/>
      <c r="W54" s="741"/>
      <c r="X54" s="742"/>
      <c r="Y54" s="741"/>
      <c r="Z54" s="742"/>
      <c r="AA54" s="741"/>
      <c r="AB54" s="742"/>
      <c r="AC54" s="555">
        <v>1829890</v>
      </c>
      <c r="AD54" s="556">
        <f>'obligacje 2022'!Y123</f>
        <v>107418.64999999998</v>
      </c>
      <c r="AE54" s="555">
        <v>591427</v>
      </c>
      <c r="AF54" s="556">
        <f>'obligacje 2022'!Y135</f>
        <v>25667.950000000004</v>
      </c>
      <c r="AG54" s="555"/>
      <c r="AH54" s="556">
        <f>'obligacje 2022'!Y142</f>
        <v>0</v>
      </c>
      <c r="AK54" s="539" t="str">
        <f t="shared" ref="AK54:AK56" si="96">A54</f>
        <v>Obligacje 2022</v>
      </c>
      <c r="AL54" s="540"/>
      <c r="AM54" s="1443"/>
      <c r="AN54" s="1444"/>
      <c r="AO54" s="1445"/>
      <c r="AP54" s="1443"/>
      <c r="AQ54" s="1444"/>
      <c r="AR54" s="1445"/>
      <c r="AS54" s="1443"/>
      <c r="AT54" s="1444"/>
      <c r="AU54" s="1445"/>
      <c r="AV54" s="1443"/>
      <c r="AW54" s="1444"/>
      <c r="AX54" s="1445"/>
      <c r="AY54" s="1443"/>
      <c r="AZ54" s="1444"/>
      <c r="BA54" s="1444"/>
      <c r="BB54" s="1457"/>
      <c r="BC54" s="1444"/>
      <c r="BD54" s="1444"/>
      <c r="BE54" s="1457"/>
      <c r="BF54" s="1444"/>
      <c r="BG54" s="1444"/>
      <c r="BH54" s="1457"/>
      <c r="BI54" s="1444"/>
      <c r="BJ54" s="1444"/>
      <c r="BK54" s="1457"/>
      <c r="BL54" s="1444"/>
      <c r="BM54" s="1444"/>
      <c r="BN54" s="1455"/>
      <c r="BO54" s="1450"/>
      <c r="BP54" s="1456"/>
      <c r="BQ54" s="549">
        <f t="shared" si="87"/>
        <v>2421317</v>
      </c>
      <c r="BR54" s="549">
        <f t="shared" si="88"/>
        <v>133086.59999999998</v>
      </c>
      <c r="BS54" s="542">
        <f t="shared" si="89"/>
        <v>2554403.6</v>
      </c>
      <c r="BT54" s="549">
        <f t="shared" si="90"/>
        <v>591427</v>
      </c>
      <c r="BU54" s="549">
        <f t="shared" si="91"/>
        <v>25667.950000000004</v>
      </c>
      <c r="BV54" s="542">
        <f t="shared" si="92"/>
        <v>617094.94999999995</v>
      </c>
      <c r="BW54" s="549">
        <f t="shared" si="93"/>
        <v>0</v>
      </c>
      <c r="BX54" s="549">
        <f t="shared" si="94"/>
        <v>0</v>
      </c>
      <c r="BY54" s="542">
        <f t="shared" si="95"/>
        <v>0</v>
      </c>
    </row>
    <row r="55" spans="1:77">
      <c r="A55" s="539" t="s">
        <v>324</v>
      </c>
      <c r="B55" s="554" t="str">
        <f>IF(SUM(G55+I55+K55+M55+O55+Q55+S55+U55+W55+Y55+AA55+AC55+AE55+AG55)=WPF!R50,SUM(G55+I55+K55+M55+O55+Q55+S55+U55+W55+Y55+AA55+AC55+AE55+AG55),"popraw")</f>
        <v>popraw</v>
      </c>
      <c r="C55" s="555"/>
      <c r="D55" s="556"/>
      <c r="E55" s="543">
        <f t="shared" si="69"/>
        <v>3751207</v>
      </c>
      <c r="F55" s="544">
        <f t="shared" si="69"/>
        <v>162802.41999999998</v>
      </c>
      <c r="G55" s="741"/>
      <c r="H55" s="742"/>
      <c r="I55" s="741"/>
      <c r="J55" s="742"/>
      <c r="K55" s="741"/>
      <c r="L55" s="742"/>
      <c r="M55" s="741"/>
      <c r="N55" s="742"/>
      <c r="O55" s="741"/>
      <c r="P55" s="742"/>
      <c r="Q55" s="741"/>
      <c r="R55" s="742"/>
      <c r="S55" s="741"/>
      <c r="T55" s="742"/>
      <c r="U55" s="741"/>
      <c r="V55" s="742"/>
      <c r="W55" s="741"/>
      <c r="X55" s="742"/>
      <c r="Y55" s="741"/>
      <c r="Z55" s="742"/>
      <c r="AA55" s="741"/>
      <c r="AB55" s="742"/>
      <c r="AC55" s="741"/>
      <c r="AD55" s="742"/>
      <c r="AE55" s="555">
        <v>3751207</v>
      </c>
      <c r="AF55" s="556">
        <f>'obligacje 2023'!Y135</f>
        <v>162802.41999999998</v>
      </c>
      <c r="AG55" s="555"/>
      <c r="AH55" s="556">
        <f>'obligacje 2023'!Y142</f>
        <v>0</v>
      </c>
      <c r="AK55" s="539" t="str">
        <f t="shared" si="96"/>
        <v>Obligacje 2023</v>
      </c>
      <c r="AL55" s="540"/>
      <c r="AM55" s="1443"/>
      <c r="AN55" s="1444"/>
      <c r="AO55" s="1445"/>
      <c r="AP55" s="1443"/>
      <c r="AQ55" s="1444"/>
      <c r="AR55" s="1445"/>
      <c r="AS55" s="1443"/>
      <c r="AT55" s="1444"/>
      <c r="AU55" s="1445"/>
      <c r="AV55" s="1443"/>
      <c r="AW55" s="1444"/>
      <c r="AX55" s="1445"/>
      <c r="AY55" s="1443"/>
      <c r="AZ55" s="1444"/>
      <c r="BA55" s="1444"/>
      <c r="BB55" s="1457"/>
      <c r="BC55" s="1444"/>
      <c r="BD55" s="1444"/>
      <c r="BE55" s="1457"/>
      <c r="BF55" s="1444"/>
      <c r="BG55" s="1444"/>
      <c r="BH55" s="1457"/>
      <c r="BI55" s="1444"/>
      <c r="BJ55" s="1444"/>
      <c r="BK55" s="1457"/>
      <c r="BL55" s="1444"/>
      <c r="BM55" s="1444"/>
      <c r="BN55" s="1457"/>
      <c r="BO55" s="1444"/>
      <c r="BP55" s="1458"/>
      <c r="BQ55" s="1455"/>
      <c r="BR55" s="1450"/>
      <c r="BS55" s="1456"/>
      <c r="BT55" s="549">
        <f t="shared" si="90"/>
        <v>3751207</v>
      </c>
      <c r="BU55" s="549">
        <f t="shared" si="91"/>
        <v>162802.41999999998</v>
      </c>
      <c r="BV55" s="542">
        <f t="shared" si="92"/>
        <v>3914009.42</v>
      </c>
      <c r="BW55" s="549">
        <f t="shared" si="93"/>
        <v>0</v>
      </c>
      <c r="BX55" s="549">
        <f t="shared" si="94"/>
        <v>0</v>
      </c>
      <c r="BY55" s="542">
        <f t="shared" si="95"/>
        <v>0</v>
      </c>
    </row>
    <row r="56" spans="1:77" ht="13.5" thickBot="1">
      <c r="A56" s="553" t="s">
        <v>325</v>
      </c>
      <c r="B56" s="554"/>
      <c r="C56" s="555"/>
      <c r="D56" s="556"/>
      <c r="E56" s="543">
        <f t="shared" si="69"/>
        <v>0</v>
      </c>
      <c r="F56" s="544">
        <f t="shared" si="69"/>
        <v>0</v>
      </c>
      <c r="G56" s="741"/>
      <c r="H56" s="742"/>
      <c r="I56" s="741"/>
      <c r="J56" s="742"/>
      <c r="K56" s="741"/>
      <c r="L56" s="742"/>
      <c r="M56" s="741"/>
      <c r="N56" s="742"/>
      <c r="O56" s="741"/>
      <c r="P56" s="742"/>
      <c r="Q56" s="741"/>
      <c r="R56" s="742"/>
      <c r="S56" s="741"/>
      <c r="T56" s="742"/>
      <c r="U56" s="741"/>
      <c r="V56" s="742"/>
      <c r="W56" s="741"/>
      <c r="X56" s="742"/>
      <c r="Y56" s="741"/>
      <c r="Z56" s="742"/>
      <c r="AA56" s="741"/>
      <c r="AB56" s="742"/>
      <c r="AC56" s="741"/>
      <c r="AD56" s="742"/>
      <c r="AE56" s="741"/>
      <c r="AF56" s="742"/>
      <c r="AG56" s="555"/>
      <c r="AH56" s="556"/>
      <c r="AK56" s="539" t="str">
        <f t="shared" si="96"/>
        <v>Obligacje inwestycje</v>
      </c>
      <c r="AL56" s="540"/>
      <c r="AM56" s="1446"/>
      <c r="AN56" s="1447"/>
      <c r="AO56" s="1448"/>
      <c r="AP56" s="1446"/>
      <c r="AQ56" s="1447"/>
      <c r="AR56" s="1448"/>
      <c r="AS56" s="1452"/>
      <c r="AT56" s="1453"/>
      <c r="AU56" s="1454"/>
      <c r="AV56" s="1452"/>
      <c r="AW56" s="1453"/>
      <c r="AX56" s="1454"/>
      <c r="AY56" s="1452"/>
      <c r="AZ56" s="1453"/>
      <c r="BA56" s="1453"/>
      <c r="BB56" s="1459"/>
      <c r="BC56" s="1453"/>
      <c r="BD56" s="1453"/>
      <c r="BE56" s="1459"/>
      <c r="BF56" s="1453"/>
      <c r="BG56" s="1453"/>
      <c r="BH56" s="1459"/>
      <c r="BI56" s="1453"/>
      <c r="BJ56" s="1453"/>
      <c r="BK56" s="1459"/>
      <c r="BL56" s="1453"/>
      <c r="BM56" s="1453"/>
      <c r="BN56" s="1459"/>
      <c r="BO56" s="1453"/>
      <c r="BP56" s="1460"/>
      <c r="BQ56" s="1459"/>
      <c r="BR56" s="1453"/>
      <c r="BS56" s="1460"/>
      <c r="BT56" s="1461"/>
      <c r="BU56" s="1462"/>
      <c r="BV56" s="1463"/>
      <c r="BW56" s="549">
        <f t="shared" si="93"/>
        <v>0</v>
      </c>
      <c r="BX56" s="549">
        <f t="shared" si="94"/>
        <v>0</v>
      </c>
      <c r="BY56" s="542">
        <f t="shared" si="95"/>
        <v>0</v>
      </c>
    </row>
    <row r="57" spans="1:77" ht="13.5" thickBot="1">
      <c r="A57" s="514" t="s">
        <v>326</v>
      </c>
      <c r="B57" s="563">
        <f t="shared" ref="B57:F57" si="97">SUM(B35:B56)</f>
        <v>56750000</v>
      </c>
      <c r="C57" s="519">
        <f t="shared" si="97"/>
        <v>3550000</v>
      </c>
      <c r="D57" s="564">
        <f t="shared" si="97"/>
        <v>1724435.8</v>
      </c>
      <c r="E57" s="519">
        <f t="shared" si="97"/>
        <v>75542634</v>
      </c>
      <c r="F57" s="564">
        <f t="shared" si="97"/>
        <v>19474328.928490914</v>
      </c>
      <c r="G57" s="519">
        <f>G41+G43+SUM(G45:G56)</f>
        <v>6300000</v>
      </c>
      <c r="H57" s="519">
        <f t="shared" ref="H57:AH57" si="98">H41+H43+SUM(H45:H56)</f>
        <v>2096893.6000000003</v>
      </c>
      <c r="I57" s="519">
        <f t="shared" si="98"/>
        <v>5500000</v>
      </c>
      <c r="J57" s="519">
        <f t="shared" si="98"/>
        <v>2289257.8438454545</v>
      </c>
      <c r="K57" s="519">
        <f t="shared" si="98"/>
        <v>5500000</v>
      </c>
      <c r="L57" s="519">
        <f t="shared" si="98"/>
        <v>2320815.4492636365</v>
      </c>
      <c r="M57" s="519">
        <f t="shared" si="98"/>
        <v>5900000</v>
      </c>
      <c r="N57" s="519">
        <f t="shared" si="98"/>
        <v>2098039.593845455</v>
      </c>
      <c r="O57" s="519">
        <f t="shared" si="98"/>
        <v>6000000</v>
      </c>
      <c r="P57" s="519">
        <f t="shared" si="98"/>
        <v>1790381.4038454546</v>
      </c>
      <c r="Q57" s="519">
        <f t="shared" si="98"/>
        <v>6000000</v>
      </c>
      <c r="R57" s="519">
        <f t="shared" si="98"/>
        <v>1609073.4638454546</v>
      </c>
      <c r="S57" s="519">
        <f t="shared" si="98"/>
        <v>6000000</v>
      </c>
      <c r="T57" s="519">
        <f t="shared" si="98"/>
        <v>1328314.0838454547</v>
      </c>
      <c r="U57" s="519">
        <f t="shared" si="98"/>
        <v>6000000</v>
      </c>
      <c r="V57" s="519">
        <f t="shared" si="98"/>
        <v>1102699.6300000001</v>
      </c>
      <c r="W57" s="519">
        <f t="shared" si="98"/>
        <v>6000000</v>
      </c>
      <c r="X57" s="519">
        <f t="shared" si="98"/>
        <v>867282.91</v>
      </c>
      <c r="Y57" s="519">
        <f t="shared" si="98"/>
        <v>6000000</v>
      </c>
      <c r="Z57" s="519">
        <f t="shared" si="98"/>
        <v>1833589.71</v>
      </c>
      <c r="AA57" s="519">
        <f t="shared" si="98"/>
        <v>6000000</v>
      </c>
      <c r="AB57" s="519">
        <f t="shared" si="98"/>
        <v>1661109.44</v>
      </c>
      <c r="AC57" s="519">
        <f t="shared" si="98"/>
        <v>6000000</v>
      </c>
      <c r="AD57" s="519">
        <f t="shared" si="98"/>
        <v>288401.43</v>
      </c>
      <c r="AE57" s="519">
        <f t="shared" si="98"/>
        <v>4342634</v>
      </c>
      <c r="AF57" s="519">
        <f t="shared" si="98"/>
        <v>188470.37</v>
      </c>
      <c r="AG57" s="519">
        <f t="shared" si="98"/>
        <v>0</v>
      </c>
      <c r="AH57" s="519">
        <f t="shared" si="98"/>
        <v>0</v>
      </c>
      <c r="AK57" s="565"/>
      <c r="AL57" s="566"/>
      <c r="AM57" s="567">
        <f>SUM(AM35:AM56)</f>
        <v>43900000</v>
      </c>
      <c r="AN57" s="567">
        <f t="shared" ref="AN57:BY57" si="99">SUM(AN35:AN56)</f>
        <v>9874894.7930727284</v>
      </c>
      <c r="AO57" s="568">
        <f t="shared" si="99"/>
        <v>53774894.79307273</v>
      </c>
      <c r="AP57" s="567">
        <f t="shared" si="99"/>
        <v>45132194</v>
      </c>
      <c r="AQ57" s="567">
        <f t="shared" si="99"/>
        <v>9966949.654645456</v>
      </c>
      <c r="AR57" s="568">
        <f t="shared" si="99"/>
        <v>55099143.654645458</v>
      </c>
      <c r="AS57" s="569">
        <f t="shared" si="99"/>
        <v>41539080</v>
      </c>
      <c r="AT57" s="569">
        <f t="shared" si="99"/>
        <v>8270587.1953818193</v>
      </c>
      <c r="AU57" s="570">
        <f t="shared" si="99"/>
        <v>49809667.195381828</v>
      </c>
      <c r="AV57" s="569">
        <f t="shared" si="99"/>
        <v>35639080</v>
      </c>
      <c r="AW57" s="569">
        <f t="shared" si="99"/>
        <v>6172547.6015363634</v>
      </c>
      <c r="AX57" s="570">
        <f t="shared" si="99"/>
        <v>41811627.601536363</v>
      </c>
      <c r="AY57" s="569">
        <f t="shared" si="99"/>
        <v>31257865</v>
      </c>
      <c r="AZ57" s="569">
        <f t="shared" si="99"/>
        <v>7204464.5176909082</v>
      </c>
      <c r="BA57" s="570">
        <f t="shared" si="99"/>
        <v>38462329.517690912</v>
      </c>
      <c r="BB57" s="569">
        <f t="shared" si="99"/>
        <v>26847338</v>
      </c>
      <c r="BC57" s="569">
        <f t="shared" si="99"/>
        <v>5965391.2638454549</v>
      </c>
      <c r="BD57" s="570">
        <f t="shared" si="99"/>
        <v>32812729.263845451</v>
      </c>
      <c r="BE57" s="569">
        <f>SUM(BE35:BE50)</f>
        <v>22385816</v>
      </c>
      <c r="BF57" s="569">
        <f t="shared" si="99"/>
        <v>4922367.18</v>
      </c>
      <c r="BG57" s="570">
        <f t="shared" si="99"/>
        <v>27308183.18</v>
      </c>
      <c r="BH57" s="569">
        <f t="shared" si="99"/>
        <v>18327476</v>
      </c>
      <c r="BI57" s="569">
        <f t="shared" si="99"/>
        <v>4103297.58</v>
      </c>
      <c r="BJ57" s="570">
        <f t="shared" si="99"/>
        <v>22430773.579999998</v>
      </c>
      <c r="BK57" s="569">
        <f t="shared" si="99"/>
        <v>14248793</v>
      </c>
      <c r="BL57" s="569">
        <f t="shared" si="99"/>
        <v>3501331.1200000006</v>
      </c>
      <c r="BM57" s="570">
        <f t="shared" si="99"/>
        <v>17750124.120000001</v>
      </c>
      <c r="BN57" s="569">
        <f t="shared" si="99"/>
        <v>10170110</v>
      </c>
      <c r="BO57" s="569">
        <f t="shared" si="99"/>
        <v>1842092.2200000002</v>
      </c>
      <c r="BP57" s="570">
        <f t="shared" si="99"/>
        <v>12012202.220000001</v>
      </c>
      <c r="BQ57" s="569">
        <f t="shared" si="99"/>
        <v>6591427</v>
      </c>
      <c r="BR57" s="569">
        <f t="shared" si="99"/>
        <v>314069.38</v>
      </c>
      <c r="BS57" s="570">
        <f t="shared" si="99"/>
        <v>6905496.379999999</v>
      </c>
      <c r="BT57" s="569">
        <f t="shared" si="99"/>
        <v>4342634</v>
      </c>
      <c r="BU57" s="569">
        <f t="shared" si="99"/>
        <v>188470.37</v>
      </c>
      <c r="BV57" s="570">
        <f t="shared" si="99"/>
        <v>4531104.37</v>
      </c>
      <c r="BW57" s="569">
        <f t="shared" si="99"/>
        <v>0</v>
      </c>
      <c r="BX57" s="569">
        <f t="shared" si="99"/>
        <v>0</v>
      </c>
      <c r="BY57" s="571">
        <f t="shared" si="99"/>
        <v>0</v>
      </c>
    </row>
    <row r="58" spans="1:77" ht="14.25" thickBot="1">
      <c r="A58" s="495"/>
      <c r="B58" s="522" t="s">
        <v>303</v>
      </c>
      <c r="C58" s="1464">
        <f>SUM(C57,D57)</f>
        <v>5274435.8</v>
      </c>
      <c r="D58" s="1465"/>
      <c r="E58" s="1464">
        <f>SUM(E57,F57)</f>
        <v>95016962.928490907</v>
      </c>
      <c r="F58" s="1465"/>
      <c r="G58" s="1464">
        <f>SUM(G57,H57)</f>
        <v>8396893.5999999996</v>
      </c>
      <c r="H58" s="1465"/>
      <c r="I58" s="1464">
        <f>SUM(I57,J57)</f>
        <v>7789257.843845455</v>
      </c>
      <c r="J58" s="1465"/>
      <c r="K58" s="1464">
        <f>SUM(K57,L57)</f>
        <v>7820815.449263636</v>
      </c>
      <c r="L58" s="1465"/>
      <c r="M58" s="1464">
        <f>SUM(M57,N57)</f>
        <v>7998039.593845455</v>
      </c>
      <c r="N58" s="1465"/>
      <c r="O58" s="1464">
        <f>SUM(O57,P57)</f>
        <v>7790381.4038454546</v>
      </c>
      <c r="P58" s="1465"/>
      <c r="Q58" s="1464">
        <f>SUM(Q57,R57)</f>
        <v>7609073.4638454542</v>
      </c>
      <c r="R58" s="1465"/>
      <c r="S58" s="1464">
        <f>SUM(S57,T57)</f>
        <v>7328314.0838454552</v>
      </c>
      <c r="T58" s="1465"/>
      <c r="U58" s="1464">
        <f>SUM(U57,V57)</f>
        <v>7102699.6299999999</v>
      </c>
      <c r="V58" s="1465"/>
      <c r="W58" s="1467">
        <f>SUM(W57,X57)</f>
        <v>6867282.9100000001</v>
      </c>
      <c r="X58" s="1468"/>
      <c r="Y58" s="1467">
        <f>SUM(Y57,Z57)</f>
        <v>7833589.71</v>
      </c>
      <c r="Z58" s="1468"/>
      <c r="AA58" s="1467">
        <f>SUM(AA57,AB57)</f>
        <v>7661109.4399999995</v>
      </c>
      <c r="AB58" s="1474"/>
      <c r="AC58" s="1467">
        <f>SUM(AC57,AD57)</f>
        <v>6288401.4299999997</v>
      </c>
      <c r="AD58" s="1468"/>
      <c r="AE58" s="1467">
        <f>SUM(AE57,AF57)</f>
        <v>4531104.37</v>
      </c>
      <c r="AF58" s="1468"/>
      <c r="AG58" s="1467">
        <f>SUM(AG57,AH57)</f>
        <v>0</v>
      </c>
      <c r="AH58" s="1468"/>
      <c r="AK58" s="572"/>
      <c r="AL58" s="573"/>
      <c r="AM58" s="573"/>
      <c r="AN58" s="573"/>
      <c r="AO58" s="574"/>
      <c r="AP58" s="573"/>
      <c r="AQ58" s="573"/>
      <c r="AR58" s="574"/>
      <c r="AS58" s="573"/>
      <c r="AT58" s="573"/>
      <c r="AU58" s="574"/>
      <c r="AV58" s="573"/>
      <c r="AW58" s="573"/>
      <c r="AX58" s="574"/>
      <c r="AY58" s="573"/>
      <c r="AZ58" s="573"/>
      <c r="BA58" s="574"/>
      <c r="BB58" s="573"/>
      <c r="BC58" s="573"/>
      <c r="BD58" s="574"/>
      <c r="BE58" s="573"/>
      <c r="BF58" s="573"/>
      <c r="BG58" s="574"/>
      <c r="BH58" s="573"/>
      <c r="BI58" s="573"/>
      <c r="BJ58" s="574"/>
      <c r="BK58" s="573"/>
      <c r="BL58" s="573"/>
      <c r="BM58" s="574"/>
      <c r="BN58" s="573"/>
      <c r="BO58" s="573"/>
      <c r="BP58" s="574"/>
      <c r="BQ58" s="573"/>
      <c r="BR58" s="573"/>
      <c r="BS58" s="574"/>
      <c r="BT58" s="573"/>
      <c r="BU58" s="573"/>
      <c r="BV58" s="574"/>
      <c r="BW58" s="573"/>
      <c r="BX58" s="573"/>
      <c r="BY58" s="575"/>
    </row>
    <row r="59" spans="1:77" ht="13.5" thickBot="1">
      <c r="A59" s="1469" t="s">
        <v>327</v>
      </c>
      <c r="B59" s="1470"/>
      <c r="C59" s="576">
        <f t="shared" ref="C59:AH59" si="100">SUM(C11,C30,C57)</f>
        <v>4220898</v>
      </c>
      <c r="D59" s="576">
        <f t="shared" si="100"/>
        <v>1839245.49</v>
      </c>
      <c r="E59" s="576">
        <f t="shared" si="100"/>
        <v>78452460.290000007</v>
      </c>
      <c r="F59" s="576">
        <f t="shared" si="100"/>
        <v>20650446.914490916</v>
      </c>
      <c r="G59" s="576">
        <f t="shared" si="100"/>
        <v>6998867</v>
      </c>
      <c r="H59" s="576">
        <f t="shared" si="100"/>
        <v>2173458.14</v>
      </c>
      <c r="I59" s="576">
        <f t="shared" si="100"/>
        <v>6160865</v>
      </c>
      <c r="J59" s="576">
        <f t="shared" si="100"/>
        <v>2346830.0238454547</v>
      </c>
      <c r="K59" s="576">
        <f t="shared" si="100"/>
        <v>6329926.5999999996</v>
      </c>
      <c r="L59" s="576">
        <f t="shared" si="100"/>
        <v>2535398.1952636363</v>
      </c>
      <c r="M59" s="576">
        <f t="shared" si="100"/>
        <v>6912098.5700000003</v>
      </c>
      <c r="N59" s="576">
        <f t="shared" si="100"/>
        <v>2538307.4138454553</v>
      </c>
      <c r="O59" s="576">
        <f t="shared" si="100"/>
        <v>6818547.5700000003</v>
      </c>
      <c r="P59" s="576">
        <f t="shared" si="100"/>
        <v>2218122.8438454545</v>
      </c>
      <c r="Q59" s="576">
        <f t="shared" si="100"/>
        <v>6789235.5700000003</v>
      </c>
      <c r="R59" s="576">
        <f t="shared" si="100"/>
        <v>1983136.4538454546</v>
      </c>
      <c r="S59" s="576">
        <f t="shared" si="100"/>
        <v>6738240.5700000003</v>
      </c>
      <c r="T59" s="576">
        <f t="shared" si="100"/>
        <v>1649849.7538454547</v>
      </c>
      <c r="U59" s="576">
        <f t="shared" si="100"/>
        <v>6641422.5700000003</v>
      </c>
      <c r="V59" s="576">
        <f t="shared" si="100"/>
        <v>1373898.82</v>
      </c>
      <c r="W59" s="576">
        <f t="shared" si="100"/>
        <v>6621079.5700000003</v>
      </c>
      <c r="X59" s="576">
        <f t="shared" si="100"/>
        <v>1090325.76</v>
      </c>
      <c r="Y59" s="576">
        <f t="shared" si="100"/>
        <v>6621079.5700000003</v>
      </c>
      <c r="Z59" s="577">
        <f t="shared" si="100"/>
        <v>2008527.0999999999</v>
      </c>
      <c r="AA59" s="576">
        <f t="shared" si="100"/>
        <v>6621079.5700000003</v>
      </c>
      <c r="AB59" s="578">
        <f t="shared" si="100"/>
        <v>1787941.5699999998</v>
      </c>
      <c r="AC59" s="576">
        <f t="shared" si="100"/>
        <v>6621079.5700000003</v>
      </c>
      <c r="AD59" s="576">
        <f t="shared" si="100"/>
        <v>367128.07999999996</v>
      </c>
      <c r="AE59" s="576">
        <f t="shared" si="100"/>
        <v>4735182</v>
      </c>
      <c r="AF59" s="576">
        <f t="shared" si="100"/>
        <v>220566.61</v>
      </c>
      <c r="AG59" s="576">
        <f t="shared" si="100"/>
        <v>54552.33</v>
      </c>
      <c r="AH59" s="576">
        <f t="shared" si="100"/>
        <v>3873.2100000000009</v>
      </c>
      <c r="AK59" s="1471" t="s">
        <v>328</v>
      </c>
      <c r="AL59" s="1472"/>
      <c r="AM59" s="579">
        <f t="shared" ref="AM59:BY59" si="101">SUM(AM11,AM30,AM57)</f>
        <v>46110959.289999999</v>
      </c>
      <c r="AN59" s="579">
        <f t="shared" si="101"/>
        <v>10015654.163072728</v>
      </c>
      <c r="AO59" s="579">
        <f t="shared" si="101"/>
        <v>56126613.453072727</v>
      </c>
      <c r="AP59" s="579">
        <f t="shared" si="101"/>
        <v>48967604.289999999</v>
      </c>
      <c r="AQ59" s="579">
        <f t="shared" si="101"/>
        <v>11008930.920645457</v>
      </c>
      <c r="AR59" s="579">
        <f t="shared" si="101"/>
        <v>59976535.21064546</v>
      </c>
      <c r="AS59" s="579">
        <f t="shared" si="101"/>
        <v>47924520.520000003</v>
      </c>
      <c r="AT59" s="579">
        <f t="shared" si="101"/>
        <v>10516031.27538182</v>
      </c>
      <c r="AU59" s="579">
        <f t="shared" si="101"/>
        <v>58440551.795381829</v>
      </c>
      <c r="AV59" s="579">
        <f t="shared" si="101"/>
        <v>41557944.890000001</v>
      </c>
      <c r="AW59" s="579">
        <f t="shared" si="101"/>
        <v>8206595.3615363631</v>
      </c>
      <c r="AX59" s="579">
        <f t="shared" si="101"/>
        <v>49764540.251536362</v>
      </c>
      <c r="AY59" s="579">
        <f t="shared" si="101"/>
        <v>36358182.32</v>
      </c>
      <c r="AZ59" s="579">
        <f t="shared" si="101"/>
        <v>8810770.8376909085</v>
      </c>
      <c r="BA59" s="579">
        <f t="shared" si="101"/>
        <v>45168953.157690912</v>
      </c>
      <c r="BB59" s="579">
        <f t="shared" si="101"/>
        <v>31158419.75</v>
      </c>
      <c r="BC59" s="579">
        <f t="shared" si="101"/>
        <v>7197634.593845455</v>
      </c>
      <c r="BD59" s="579">
        <f t="shared" si="101"/>
        <v>38356054.343845449</v>
      </c>
      <c r="BE59" s="579">
        <f t="shared" si="101"/>
        <v>25958657.18</v>
      </c>
      <c r="BF59" s="579">
        <f t="shared" si="101"/>
        <v>5833074.8399999999</v>
      </c>
      <c r="BG59" s="579">
        <f t="shared" si="101"/>
        <v>31791732.02</v>
      </c>
      <c r="BH59" s="579">
        <f t="shared" si="101"/>
        <v>21258894.609999999</v>
      </c>
      <c r="BI59" s="579">
        <f t="shared" si="101"/>
        <v>4742806.05</v>
      </c>
      <c r="BJ59" s="579">
        <f t="shared" si="101"/>
        <v>26001700.659999996</v>
      </c>
      <c r="BK59" s="579">
        <f t="shared" si="101"/>
        <v>16559132.039999999</v>
      </c>
      <c r="BL59" s="579">
        <f t="shared" si="101"/>
        <v>3917796.7400000007</v>
      </c>
      <c r="BM59" s="579">
        <f t="shared" si="101"/>
        <v>20476928.780000001</v>
      </c>
      <c r="BN59" s="579">
        <f t="shared" si="101"/>
        <v>11859369.470000001</v>
      </c>
      <c r="BO59" s="579">
        <f t="shared" si="101"/>
        <v>2083620.4500000002</v>
      </c>
      <c r="BP59" s="579">
        <f t="shared" si="101"/>
        <v>13942989.920000002</v>
      </c>
      <c r="BQ59" s="579">
        <f t="shared" si="101"/>
        <v>7659606.9000000004</v>
      </c>
      <c r="BR59" s="579">
        <f t="shared" si="101"/>
        <v>428765.48</v>
      </c>
      <c r="BS59" s="579">
        <f t="shared" si="101"/>
        <v>8088372.379999999</v>
      </c>
      <c r="BT59" s="579">
        <f t="shared" si="101"/>
        <v>4789734.33</v>
      </c>
      <c r="BU59" s="579">
        <f t="shared" si="101"/>
        <v>224439.82</v>
      </c>
      <c r="BV59" s="579">
        <f t="shared" si="101"/>
        <v>5014174.1500000004</v>
      </c>
      <c r="BW59" s="579">
        <f t="shared" si="101"/>
        <v>54552.33</v>
      </c>
      <c r="BX59" s="579">
        <f t="shared" si="101"/>
        <v>3873.2100000000009</v>
      </c>
      <c r="BY59" s="579">
        <f t="shared" si="101"/>
        <v>58425.54</v>
      </c>
    </row>
    <row r="60" spans="1:77" ht="13.5" thickBot="1">
      <c r="A60" s="1439" t="s">
        <v>329</v>
      </c>
      <c r="B60" s="1473"/>
      <c r="C60" s="580"/>
      <c r="D60" s="581">
        <f>SUM(C59,D59)</f>
        <v>6060143.4900000002</v>
      </c>
      <c r="E60" s="582"/>
      <c r="F60" s="581">
        <f>SUM(E59,F59)</f>
        <v>99102907.20449093</v>
      </c>
      <c r="G60" s="583"/>
      <c r="H60" s="581">
        <f>SUM(G59,H59)</f>
        <v>9172325.1400000006</v>
      </c>
      <c r="I60" s="583"/>
      <c r="J60" s="581">
        <f>SUM(I59,J59)</f>
        <v>8507695.0238454547</v>
      </c>
      <c r="K60" s="583"/>
      <c r="L60" s="581">
        <f>SUM(K59,L59)</f>
        <v>8865324.7952636369</v>
      </c>
      <c r="M60" s="583"/>
      <c r="N60" s="581">
        <f>SUM(M59,N59)</f>
        <v>9450405.9838454556</v>
      </c>
      <c r="O60" s="583"/>
      <c r="P60" s="581">
        <f>SUM(O59,P59)</f>
        <v>9036670.4138454553</v>
      </c>
      <c r="Q60" s="583"/>
      <c r="R60" s="581">
        <f>SUM(Q59,R59)</f>
        <v>8772372.0238454547</v>
      </c>
      <c r="S60" s="583"/>
      <c r="T60" s="581">
        <f>SUM(S59,T59)</f>
        <v>8388090.3238454554</v>
      </c>
      <c r="U60" s="583"/>
      <c r="V60" s="581">
        <f>SUM(U59,V59)</f>
        <v>8015321.3900000006</v>
      </c>
      <c r="W60" s="583"/>
      <c r="X60" s="581">
        <f>SUM(W59,X59)</f>
        <v>7711405.3300000001</v>
      </c>
      <c r="Y60" s="582"/>
      <c r="Z60" s="581">
        <f>SUM(Y59,Z59)</f>
        <v>8629606.6699999999</v>
      </c>
      <c r="AA60" s="582"/>
      <c r="AB60" s="581">
        <f>SUM(AA59,AB59)</f>
        <v>8409021.1400000006</v>
      </c>
      <c r="AC60" s="582"/>
      <c r="AD60" s="581">
        <f>SUM(AC59,AD59)</f>
        <v>6988207.6500000004</v>
      </c>
      <c r="AE60" s="582"/>
      <c r="AF60" s="581">
        <f>SUM(AE59,AF59)</f>
        <v>4955748.6100000003</v>
      </c>
      <c r="AG60" s="582"/>
      <c r="AH60" s="581">
        <f>SUM(AG59,AH59)</f>
        <v>58425.54</v>
      </c>
      <c r="AK60" s="584"/>
      <c r="AL60" s="584"/>
      <c r="AM60" s="585"/>
      <c r="AN60" s="585"/>
      <c r="AO60" s="586">
        <f>AO57+AO30+AO11</f>
        <v>56126613.453072727</v>
      </c>
      <c r="AP60" s="587"/>
      <c r="AQ60" s="587"/>
      <c r="AR60" s="586">
        <f>AR57+AR30+AR11</f>
        <v>59976535.21064546</v>
      </c>
      <c r="AS60" s="587"/>
      <c r="AT60" s="587"/>
      <c r="AU60" s="586">
        <f>AU57+AU30+AU11</f>
        <v>58440551.795381829</v>
      </c>
      <c r="AV60" s="587"/>
      <c r="AW60" s="587"/>
      <c r="AX60" s="586">
        <f>AX57+AX30+AX11</f>
        <v>49764540.251536362</v>
      </c>
      <c r="AY60" s="587"/>
      <c r="AZ60" s="587"/>
      <c r="BA60" s="586">
        <f>BA57+BA30+BA11</f>
        <v>45168953.157690912</v>
      </c>
      <c r="BB60" s="588"/>
      <c r="BC60" s="587"/>
      <c r="BD60" s="586">
        <f>BD57+BD30+BD11</f>
        <v>38356054.343845449</v>
      </c>
      <c r="BE60" s="589"/>
      <c r="BF60" s="589"/>
      <c r="BG60" s="586">
        <f>BG57+BG30+BG11</f>
        <v>31791732.02</v>
      </c>
      <c r="BH60" s="589"/>
      <c r="BI60" s="589"/>
      <c r="BJ60" s="586">
        <f>BJ57+BJ30+BJ11</f>
        <v>26001700.659999996</v>
      </c>
      <c r="BK60" s="589"/>
      <c r="BL60" s="589"/>
      <c r="BM60" s="586">
        <f>BM57+BM30+BM11</f>
        <v>20476928.780000001</v>
      </c>
      <c r="BN60" s="589"/>
      <c r="BO60" s="589"/>
      <c r="BP60" s="586">
        <f>BP57+BP30+BP11</f>
        <v>13942989.920000002</v>
      </c>
      <c r="BQ60" s="589"/>
      <c r="BR60" s="589"/>
      <c r="BS60" s="586">
        <f>BS57+BS30+BS11</f>
        <v>8088372.379999999</v>
      </c>
      <c r="BT60" s="589"/>
      <c r="BU60" s="589"/>
      <c r="BV60" s="586">
        <f>BV57+BV30+BV11</f>
        <v>5014174.1500000004</v>
      </c>
      <c r="BW60" s="589"/>
      <c r="BX60" s="589"/>
      <c r="BY60" s="586">
        <f>BY57+BY30+BY11</f>
        <v>58425.54</v>
      </c>
    </row>
    <row r="61" spans="1:77" ht="20.25" customHeight="1">
      <c r="AK61" s="584"/>
      <c r="AL61" s="584"/>
      <c r="AM61" s="590"/>
      <c r="AN61" s="590"/>
      <c r="AO61" s="584"/>
      <c r="AP61" s="584"/>
      <c r="AQ61" s="584"/>
      <c r="AR61" s="584"/>
      <c r="AS61" s="584"/>
      <c r="AT61" s="584"/>
      <c r="AU61" s="584"/>
      <c r="AV61" s="584"/>
      <c r="AW61" s="584"/>
      <c r="AX61" s="584"/>
      <c r="AY61" s="584"/>
      <c r="AZ61" s="584"/>
      <c r="BA61" s="584"/>
      <c r="BB61" s="584"/>
      <c r="BC61" s="584"/>
      <c r="BD61" s="584"/>
      <c r="BE61" s="584"/>
      <c r="BF61" s="584"/>
      <c r="BG61" s="584"/>
      <c r="BH61" s="584"/>
      <c r="BI61" s="584"/>
      <c r="BJ61" s="584"/>
      <c r="BK61" s="584"/>
      <c r="BL61" s="584"/>
      <c r="BM61" s="584"/>
      <c r="BN61" s="584"/>
      <c r="BO61" s="584"/>
      <c r="BP61" s="584"/>
      <c r="BQ61" s="584"/>
      <c r="BR61" s="584"/>
      <c r="BS61" s="584"/>
      <c r="BT61" s="584"/>
      <c r="BU61" s="584"/>
      <c r="BV61" s="584"/>
      <c r="BW61" s="584"/>
      <c r="BX61" s="584"/>
      <c r="BY61" s="584"/>
    </row>
    <row r="62" spans="1:77" hidden="1">
      <c r="AK62" s="1466" t="s">
        <v>330</v>
      </c>
      <c r="AL62" s="1466"/>
      <c r="AM62" s="591"/>
      <c r="AN62" s="592">
        <f>E59/'[1]Plan dochodów'!C4</f>
        <v>0.55289254195941095</v>
      </c>
      <c r="AO62" s="593" t="e">
        <f>SUM(AM59,#REF!)/'[1]Plan dochodów'!D4</f>
        <v>#REF!</v>
      </c>
      <c r="AP62" s="584"/>
      <c r="AQ62" s="584"/>
      <c r="AR62" s="593" t="e">
        <f>SUM(AP59,#REF!)/'[1]Plan dochodów'!E4</f>
        <v>#REF!</v>
      </c>
      <c r="AS62" s="584"/>
      <c r="AT62" s="584"/>
      <c r="AU62" s="593" t="e">
        <f>SUM(AS59,#REF!)/'[1]Plan dochodów'!F4</f>
        <v>#REF!</v>
      </c>
      <c r="AV62" s="584"/>
      <c r="AW62" s="584"/>
      <c r="AX62" s="593" t="e">
        <f>SUM(AV59,#REF!)/'[1]Plan dochodów'!G4</f>
        <v>#REF!</v>
      </c>
      <c r="AY62" s="584"/>
      <c r="AZ62" s="584"/>
      <c r="BA62" s="593" t="e">
        <f>SUM(AY59,#REF!)/'[1]Plan dochodów'!H4</f>
        <v>#REF!</v>
      </c>
      <c r="BB62" s="584"/>
      <c r="BC62" s="584"/>
      <c r="BD62" s="593" t="e">
        <f>SUM(BB59,#REF!)/'[1]Plan dochodów'!I4</f>
        <v>#REF!</v>
      </c>
      <c r="BE62" s="584"/>
      <c r="BF62" s="584"/>
      <c r="BG62" s="593" t="e">
        <f>SUM(BE59,#REF!)/'[1]Plan dochodów'!J4</f>
        <v>#REF!</v>
      </c>
      <c r="BH62" s="584"/>
      <c r="BI62" s="584"/>
      <c r="BJ62" s="593" t="e">
        <f>SUM(BH59,#REF!)/'[1]Plan dochodów'!K4</f>
        <v>#REF!</v>
      </c>
      <c r="BK62" s="584"/>
      <c r="BL62" s="584"/>
      <c r="BM62" s="593" t="e">
        <f>SUM(BK59,#REF!)/'[1]Plan dochodów'!L4</f>
        <v>#REF!</v>
      </c>
      <c r="BN62" s="584"/>
      <c r="BO62" s="584"/>
      <c r="BP62" s="593" t="e">
        <f>SUM(BN59,#REF!)/'[1]Plan dochodów'!M4</f>
        <v>#REF!</v>
      </c>
      <c r="BQ62" s="584"/>
      <c r="BR62" s="584"/>
      <c r="BS62" s="593" t="e">
        <f>SUM(BQ59,#REF!)/'[1]Plan dochodów'!N4</f>
        <v>#REF!</v>
      </c>
      <c r="BT62" s="584"/>
      <c r="BU62" s="584"/>
      <c r="BV62" s="593" t="e">
        <f>SUM(BT59,#REF!)/'[1]Plan dochodów'!O4</f>
        <v>#REF!</v>
      </c>
      <c r="BW62" s="584"/>
      <c r="BX62" s="584"/>
      <c r="BY62" s="593" t="e">
        <f>SUM(BW59,#REF!)/'[1]Plan dochodów'!P4</f>
        <v>#REF!</v>
      </c>
    </row>
    <row r="63" spans="1:77" hidden="1"/>
    <row r="64" spans="1:7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/>
    <row r="75"/>
    <row r="76"/>
    <row r="77"/>
    <row r="78"/>
    <row r="79"/>
    <row r="80"/>
    <row r="81"/>
    <row r="82"/>
    <row r="83"/>
    <row r="84"/>
    <row r="85"/>
    <row r="86"/>
    <row r="87" hidden="1"/>
    <row r="88" hidden="1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17">
    <mergeCell ref="AK62:AL62"/>
    <mergeCell ref="AC58:AD58"/>
    <mergeCell ref="AE58:AF58"/>
    <mergeCell ref="AG58:AH58"/>
    <mergeCell ref="A59:B59"/>
    <mergeCell ref="AK59:AL59"/>
    <mergeCell ref="A60:B60"/>
    <mergeCell ref="Q58:R58"/>
    <mergeCell ref="S58:T58"/>
    <mergeCell ref="U58:V58"/>
    <mergeCell ref="W58:X58"/>
    <mergeCell ref="Y58:Z58"/>
    <mergeCell ref="AA58:AB58"/>
    <mergeCell ref="BN54:BP56"/>
    <mergeCell ref="BQ55:BS56"/>
    <mergeCell ref="BT56:BV56"/>
    <mergeCell ref="C58:D58"/>
    <mergeCell ref="E58:F58"/>
    <mergeCell ref="G58:H58"/>
    <mergeCell ref="I58:J58"/>
    <mergeCell ref="K58:L58"/>
    <mergeCell ref="M58:N58"/>
    <mergeCell ref="O58:P58"/>
    <mergeCell ref="AV48:AX56"/>
    <mergeCell ref="AY49:BA56"/>
    <mergeCell ref="BB50:BD56"/>
    <mergeCell ref="BE51:BG56"/>
    <mergeCell ref="BH52:BJ56"/>
    <mergeCell ref="BK53:BM56"/>
    <mergeCell ref="AE33:AF33"/>
    <mergeCell ref="AG33:AH33"/>
    <mergeCell ref="AM45:AO56"/>
    <mergeCell ref="AP46:AR56"/>
    <mergeCell ref="AS47:AU56"/>
    <mergeCell ref="O33:P33"/>
    <mergeCell ref="Q33:R33"/>
    <mergeCell ref="U33:V33"/>
    <mergeCell ref="W33:X33"/>
    <mergeCell ref="Y33:Z33"/>
    <mergeCell ref="AA33:AB33"/>
    <mergeCell ref="A33:B33"/>
    <mergeCell ref="C33:D33"/>
    <mergeCell ref="G33:H33"/>
    <mergeCell ref="I33:J33"/>
    <mergeCell ref="K33:L33"/>
    <mergeCell ref="M33:N33"/>
    <mergeCell ref="Y31:Z31"/>
    <mergeCell ref="AA31:AB31"/>
    <mergeCell ref="AC31:AD31"/>
    <mergeCell ref="AC33:AD33"/>
    <mergeCell ref="AE31:AF31"/>
    <mergeCell ref="AG31:AH31"/>
    <mergeCell ref="A32:B32"/>
    <mergeCell ref="M31:N31"/>
    <mergeCell ref="O31:P31"/>
    <mergeCell ref="Q31:R31"/>
    <mergeCell ref="S31:T31"/>
    <mergeCell ref="U31:V31"/>
    <mergeCell ref="W31:X31"/>
    <mergeCell ref="C31:D31"/>
    <mergeCell ref="E31:F31"/>
    <mergeCell ref="G31:H31"/>
    <mergeCell ref="I31:J31"/>
    <mergeCell ref="K31:L31"/>
    <mergeCell ref="O12:P12"/>
    <mergeCell ref="Q12:R12"/>
    <mergeCell ref="S12:T12"/>
    <mergeCell ref="BH4:BJ4"/>
    <mergeCell ref="AA4:AB4"/>
    <mergeCell ref="AC4:AD4"/>
    <mergeCell ref="AE4:AF4"/>
    <mergeCell ref="AG4:AH4"/>
    <mergeCell ref="AM4:AO4"/>
    <mergeCell ref="AP4:AR4"/>
    <mergeCell ref="AK3:AK4"/>
    <mergeCell ref="AL3:AL4"/>
    <mergeCell ref="AM3:BY3"/>
    <mergeCell ref="BK4:BM4"/>
    <mergeCell ref="BN4:BP4"/>
    <mergeCell ref="BQ4:BS4"/>
    <mergeCell ref="BT4:BV4"/>
    <mergeCell ref="BW4:BY4"/>
    <mergeCell ref="BE4:BG4"/>
    <mergeCell ref="C12:D12"/>
    <mergeCell ref="E12:F12"/>
    <mergeCell ref="G12:H12"/>
    <mergeCell ref="I12:J12"/>
    <mergeCell ref="K12:L12"/>
    <mergeCell ref="AS4:AU4"/>
    <mergeCell ref="AV4:AX4"/>
    <mergeCell ref="AY4:BA4"/>
    <mergeCell ref="BB4:BD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</mergeCells>
  <conditionalFormatting sqref="B45">
    <cfRule type="containsText" dxfId="4" priority="5" operator="containsText" text="popraw">
      <formula>NOT(ISERROR(SEARCH("popraw",B45)))</formula>
    </cfRule>
  </conditionalFormatting>
  <conditionalFormatting sqref="B46:B55">
    <cfRule type="containsText" dxfId="3" priority="4" operator="containsText" text="popraw">
      <formula>NOT(ISERROR(SEARCH("popraw",B46)))</formula>
    </cfRule>
  </conditionalFormatting>
  <conditionalFormatting sqref="B27">
    <cfRule type="containsText" dxfId="2" priority="3" operator="containsText" text="popraw">
      <formula>NOT(ISERROR(SEARCH("popraw",B27)))</formula>
    </cfRule>
  </conditionalFormatting>
  <conditionalFormatting sqref="B28:B29">
    <cfRule type="containsText" dxfId="1" priority="2" operator="containsText" text="popraw">
      <formula>NOT(ISERROR(SEARCH("popraw",B28)))</formula>
    </cfRule>
  </conditionalFormatting>
  <conditionalFormatting sqref="B45">
    <cfRule type="containsText" dxfId="0" priority="1" operator="containsText" text="popraw">
      <formula>NOT(ISERROR(SEARCH("popraw",B45)))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1" min="36" max="76" man="1"/>
  </rowBreaks>
  <colBreaks count="8" manualBreakCount="8">
    <brk id="13" min="1" max="53" man="1"/>
    <brk id="27" min="1" max="53" man="1"/>
    <brk id="41" min="1" max="53" man="1"/>
    <brk id="47" min="1" max="53" man="1"/>
    <brk id="53" min="1" max="53" man="1"/>
    <brk id="59" min="1" max="53" man="1"/>
    <brk id="65" min="1" max="53" man="1"/>
    <brk id="71" min="1" max="53" man="1"/>
  </colBreaks>
  <ignoredErrors>
    <ignoredError sqref="BE57 C32 G32 I32 K32 M32 O32 Q32 U32 W32 Y32 AA32 AC32 AE32 AG32" formula="1"/>
    <ignoredError sqref="AR62 AU62 AX62 BA62 BD62 BG62 BJ62 BM62 BP62 BS62 BV62 BY6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BZ97"/>
  <sheetViews>
    <sheetView view="pageBreakPreview" zoomScaleNormal="40" zoomScaleSheetLayoutView="100" workbookViewId="0">
      <pane xSplit="2" ySplit="4" topLeftCell="C8" activePane="bottomRight" state="frozen"/>
      <selection activeCell="I65" sqref="I65"/>
      <selection pane="topRight" activeCell="I65" sqref="I65"/>
      <selection pane="bottomLeft" activeCell="I65" sqref="I65"/>
      <selection pane="bottomRight" activeCell="A24" sqref="A24"/>
    </sheetView>
  </sheetViews>
  <sheetFormatPr defaultColWidth="0" defaultRowHeight="12.75" customHeight="1" zeroHeight="1"/>
  <cols>
    <col min="1" max="1" width="22.7109375" customWidth="1"/>
    <col min="2" max="34" width="14.7109375" customWidth="1"/>
    <col min="35" max="36" width="9.140625" customWidth="1"/>
    <col min="37" max="37" width="24.7109375" customWidth="1"/>
    <col min="38" max="77" width="14.7109375" customWidth="1"/>
    <col min="78" max="78" width="9.140625" customWidth="1"/>
  </cols>
  <sheetData>
    <row r="1" spans="1:78" ht="21" customHeight="1">
      <c r="A1" s="435"/>
      <c r="B1" s="594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</row>
    <row r="2" spans="1:78" ht="18" customHeight="1" thickBot="1">
      <c r="A2" s="1479" t="s">
        <v>331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  <c r="BY2" s="435"/>
      <c r="BZ2" s="435"/>
    </row>
    <row r="3" spans="1:78" ht="13.5" customHeight="1" thickTop="1" thickBot="1">
      <c r="A3" s="1480"/>
      <c r="B3" s="1482" t="s">
        <v>291</v>
      </c>
      <c r="C3" s="1484" t="s">
        <v>292</v>
      </c>
      <c r="D3" s="1485"/>
      <c r="E3" s="1486" t="s">
        <v>293</v>
      </c>
      <c r="F3" s="1487"/>
      <c r="G3" s="1490" t="s">
        <v>294</v>
      </c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491"/>
      <c r="S3" s="1491"/>
      <c r="T3" s="1491"/>
      <c r="U3" s="1491"/>
      <c r="V3" s="1491"/>
      <c r="W3" s="1491"/>
      <c r="X3" s="1491"/>
      <c r="Y3" s="1491"/>
      <c r="Z3" s="1491"/>
      <c r="AA3" s="1491"/>
      <c r="AB3" s="1491"/>
      <c r="AC3" s="1491"/>
      <c r="AD3" s="1491"/>
      <c r="AE3" s="1491"/>
      <c r="AF3" s="1491"/>
      <c r="AG3" s="1491"/>
      <c r="AH3" s="1492"/>
      <c r="AI3" s="435"/>
      <c r="AJ3" s="435"/>
      <c r="AK3" s="1511"/>
      <c r="AL3" s="1513" t="s">
        <v>291</v>
      </c>
      <c r="AM3" s="1515" t="s">
        <v>295</v>
      </c>
      <c r="AN3" s="1516"/>
      <c r="AO3" s="1516"/>
      <c r="AP3" s="1516"/>
      <c r="AQ3" s="1516"/>
      <c r="AR3" s="1516"/>
      <c r="AS3" s="1516"/>
      <c r="AT3" s="1516"/>
      <c r="AU3" s="1516"/>
      <c r="AV3" s="1516"/>
      <c r="AW3" s="1516"/>
      <c r="AX3" s="1516"/>
      <c r="AY3" s="1516"/>
      <c r="AZ3" s="1516"/>
      <c r="BA3" s="1516"/>
      <c r="BB3" s="1516"/>
      <c r="BC3" s="1516"/>
      <c r="BD3" s="1516"/>
      <c r="BE3" s="1516"/>
      <c r="BF3" s="1516"/>
      <c r="BG3" s="1516"/>
      <c r="BH3" s="1516"/>
      <c r="BI3" s="1516"/>
      <c r="BJ3" s="1516"/>
      <c r="BK3" s="1516"/>
      <c r="BL3" s="1516"/>
      <c r="BM3" s="1516"/>
      <c r="BN3" s="1516"/>
      <c r="BO3" s="1516"/>
      <c r="BP3" s="1516"/>
      <c r="BQ3" s="1516"/>
      <c r="BR3" s="1516"/>
      <c r="BS3" s="1516"/>
      <c r="BT3" s="1516"/>
      <c r="BU3" s="1516"/>
      <c r="BV3" s="1516"/>
      <c r="BW3" s="1516"/>
      <c r="BX3" s="1516"/>
      <c r="BY3" s="1517"/>
      <c r="BZ3" s="435"/>
    </row>
    <row r="4" spans="1:78" ht="27" customHeight="1" thickBot="1">
      <c r="A4" s="1481"/>
      <c r="B4" s="1483"/>
      <c r="C4" s="1508">
        <v>2011</v>
      </c>
      <c r="D4" s="1509"/>
      <c r="E4" s="1488"/>
      <c r="F4" s="1489"/>
      <c r="G4" s="1477">
        <v>2012</v>
      </c>
      <c r="H4" s="1478"/>
      <c r="I4" s="1477">
        <f>G4+1</f>
        <v>2013</v>
      </c>
      <c r="J4" s="1478"/>
      <c r="K4" s="1475">
        <f>I4+1</f>
        <v>2014</v>
      </c>
      <c r="L4" s="1476"/>
      <c r="M4" s="1477">
        <f>K4+1</f>
        <v>2015</v>
      </c>
      <c r="N4" s="1478"/>
      <c r="O4" s="1475">
        <f>M4+1</f>
        <v>2016</v>
      </c>
      <c r="P4" s="1476"/>
      <c r="Q4" s="1477">
        <f>O4+1</f>
        <v>2017</v>
      </c>
      <c r="R4" s="1478"/>
      <c r="S4" s="1475">
        <f>Q4+1</f>
        <v>2018</v>
      </c>
      <c r="T4" s="1476"/>
      <c r="U4" s="1477">
        <f>S4+1</f>
        <v>2019</v>
      </c>
      <c r="V4" s="1478"/>
      <c r="W4" s="1493">
        <f>U4+1</f>
        <v>2020</v>
      </c>
      <c r="X4" s="1494"/>
      <c r="Y4" s="1495">
        <f>W4+1</f>
        <v>2021</v>
      </c>
      <c r="Z4" s="1496"/>
      <c r="AA4" s="1475">
        <f>Y4+1</f>
        <v>2022</v>
      </c>
      <c r="AB4" s="1476"/>
      <c r="AC4" s="1477">
        <f>AA4+1</f>
        <v>2023</v>
      </c>
      <c r="AD4" s="1478"/>
      <c r="AE4" s="1475">
        <f>AC4+1</f>
        <v>2024</v>
      </c>
      <c r="AF4" s="1478"/>
      <c r="AG4" s="1475">
        <f>AE4+1</f>
        <v>2025</v>
      </c>
      <c r="AH4" s="1510"/>
      <c r="AI4" s="435"/>
      <c r="AJ4" s="435"/>
      <c r="AK4" s="1512"/>
      <c r="AL4" s="1514"/>
      <c r="AM4" s="1501">
        <v>2012</v>
      </c>
      <c r="AN4" s="1502"/>
      <c r="AO4" s="1503"/>
      <c r="AP4" s="1501">
        <f>AM4+1</f>
        <v>2013</v>
      </c>
      <c r="AQ4" s="1502"/>
      <c r="AR4" s="1503"/>
      <c r="AS4" s="1501">
        <f>AP4+1</f>
        <v>2014</v>
      </c>
      <c r="AT4" s="1502"/>
      <c r="AU4" s="1503"/>
      <c r="AV4" s="1501">
        <f>AS4+1</f>
        <v>2015</v>
      </c>
      <c r="AW4" s="1502"/>
      <c r="AX4" s="1503"/>
      <c r="AY4" s="1501">
        <f>AV4+1</f>
        <v>2016</v>
      </c>
      <c r="AZ4" s="1502"/>
      <c r="BA4" s="1503"/>
      <c r="BB4" s="1501">
        <f>AY4+1</f>
        <v>2017</v>
      </c>
      <c r="BC4" s="1502"/>
      <c r="BD4" s="1503"/>
      <c r="BE4" s="1501">
        <f>BB4+1</f>
        <v>2018</v>
      </c>
      <c r="BF4" s="1502"/>
      <c r="BG4" s="1503"/>
      <c r="BH4" s="1501">
        <f>BE4+1</f>
        <v>2019</v>
      </c>
      <c r="BI4" s="1502"/>
      <c r="BJ4" s="1503"/>
      <c r="BK4" s="1501">
        <f>BH4+1</f>
        <v>2020</v>
      </c>
      <c r="BL4" s="1502"/>
      <c r="BM4" s="1503"/>
      <c r="BN4" s="1501">
        <f>BK4+1</f>
        <v>2021</v>
      </c>
      <c r="BO4" s="1502"/>
      <c r="BP4" s="1503"/>
      <c r="BQ4" s="1501">
        <f>BN4+1</f>
        <v>2022</v>
      </c>
      <c r="BR4" s="1502"/>
      <c r="BS4" s="1503"/>
      <c r="BT4" s="1501">
        <f>BQ4+1</f>
        <v>2023</v>
      </c>
      <c r="BU4" s="1502"/>
      <c r="BV4" s="1503"/>
      <c r="BW4" s="1501">
        <f>BT4+1</f>
        <v>2024</v>
      </c>
      <c r="BX4" s="1502"/>
      <c r="BY4" s="1503"/>
      <c r="BZ4" s="435"/>
    </row>
    <row r="5" spans="1:78">
      <c r="A5" s="595" t="s">
        <v>296</v>
      </c>
      <c r="B5" s="596" t="s">
        <v>297</v>
      </c>
      <c r="C5" s="597" t="s">
        <v>298</v>
      </c>
      <c r="D5" s="598" t="s">
        <v>299</v>
      </c>
      <c r="E5" s="597" t="s">
        <v>298</v>
      </c>
      <c r="F5" s="598" t="s">
        <v>299</v>
      </c>
      <c r="G5" s="597" t="s">
        <v>298</v>
      </c>
      <c r="H5" s="598" t="s">
        <v>299</v>
      </c>
      <c r="I5" s="597" t="s">
        <v>298</v>
      </c>
      <c r="J5" s="598" t="s">
        <v>299</v>
      </c>
      <c r="K5" s="599" t="s">
        <v>298</v>
      </c>
      <c r="L5" s="600" t="s">
        <v>299</v>
      </c>
      <c r="M5" s="597" t="s">
        <v>298</v>
      </c>
      <c r="N5" s="598" t="s">
        <v>299</v>
      </c>
      <c r="O5" s="599" t="s">
        <v>298</v>
      </c>
      <c r="P5" s="600" t="s">
        <v>299</v>
      </c>
      <c r="Q5" s="597" t="s">
        <v>298</v>
      </c>
      <c r="R5" s="598" t="s">
        <v>299</v>
      </c>
      <c r="S5" s="599" t="s">
        <v>298</v>
      </c>
      <c r="T5" s="600" t="s">
        <v>299</v>
      </c>
      <c r="U5" s="597" t="s">
        <v>298</v>
      </c>
      <c r="V5" s="598" t="s">
        <v>299</v>
      </c>
      <c r="W5" s="599" t="s">
        <v>298</v>
      </c>
      <c r="X5" s="600" t="s">
        <v>299</v>
      </c>
      <c r="Y5" s="597" t="s">
        <v>298</v>
      </c>
      <c r="Z5" s="598" t="s">
        <v>299</v>
      </c>
      <c r="AA5" s="599" t="s">
        <v>298</v>
      </c>
      <c r="AB5" s="600" t="s">
        <v>299</v>
      </c>
      <c r="AC5" s="597" t="s">
        <v>298</v>
      </c>
      <c r="AD5" s="598" t="s">
        <v>299</v>
      </c>
      <c r="AE5" s="599" t="s">
        <v>298</v>
      </c>
      <c r="AF5" s="598" t="s">
        <v>299</v>
      </c>
      <c r="AG5" s="599" t="s">
        <v>298</v>
      </c>
      <c r="AH5" s="601" t="s">
        <v>299</v>
      </c>
      <c r="AI5" s="435"/>
      <c r="AJ5" s="435"/>
      <c r="AK5" s="602" t="s">
        <v>296</v>
      </c>
      <c r="AL5" s="603" t="s">
        <v>297</v>
      </c>
      <c r="AM5" s="604" t="s">
        <v>298</v>
      </c>
      <c r="AN5" s="605" t="s">
        <v>299</v>
      </c>
      <c r="AO5" s="606" t="s">
        <v>300</v>
      </c>
      <c r="AP5" s="604" t="s">
        <v>298</v>
      </c>
      <c r="AQ5" s="605" t="s">
        <v>299</v>
      </c>
      <c r="AR5" s="606" t="s">
        <v>300</v>
      </c>
      <c r="AS5" s="604" t="s">
        <v>298</v>
      </c>
      <c r="AT5" s="605" t="s">
        <v>299</v>
      </c>
      <c r="AU5" s="606" t="s">
        <v>300</v>
      </c>
      <c r="AV5" s="604" t="s">
        <v>298</v>
      </c>
      <c r="AW5" s="605" t="s">
        <v>299</v>
      </c>
      <c r="AX5" s="606" t="s">
        <v>300</v>
      </c>
      <c r="AY5" s="604" t="s">
        <v>298</v>
      </c>
      <c r="AZ5" s="605" t="s">
        <v>299</v>
      </c>
      <c r="BA5" s="606" t="s">
        <v>300</v>
      </c>
      <c r="BB5" s="604" t="s">
        <v>298</v>
      </c>
      <c r="BC5" s="605" t="s">
        <v>299</v>
      </c>
      <c r="BD5" s="606" t="s">
        <v>300</v>
      </c>
      <c r="BE5" s="604" t="s">
        <v>298</v>
      </c>
      <c r="BF5" s="605" t="s">
        <v>299</v>
      </c>
      <c r="BG5" s="606" t="s">
        <v>300</v>
      </c>
      <c r="BH5" s="604" t="s">
        <v>298</v>
      </c>
      <c r="BI5" s="605" t="s">
        <v>299</v>
      </c>
      <c r="BJ5" s="606" t="s">
        <v>300</v>
      </c>
      <c r="BK5" s="604" t="s">
        <v>298</v>
      </c>
      <c r="BL5" s="605" t="s">
        <v>299</v>
      </c>
      <c r="BM5" s="606" t="s">
        <v>300</v>
      </c>
      <c r="BN5" s="604" t="s">
        <v>298</v>
      </c>
      <c r="BO5" s="605" t="s">
        <v>299</v>
      </c>
      <c r="BP5" s="606" t="s">
        <v>300</v>
      </c>
      <c r="BQ5" s="604" t="s">
        <v>298</v>
      </c>
      <c r="BR5" s="605" t="s">
        <v>299</v>
      </c>
      <c r="BS5" s="606" t="s">
        <v>300</v>
      </c>
      <c r="BT5" s="604" t="s">
        <v>298</v>
      </c>
      <c r="BU5" s="605" t="s">
        <v>299</v>
      </c>
      <c r="BV5" s="606" t="s">
        <v>300</v>
      </c>
      <c r="BW5" s="604" t="s">
        <v>298</v>
      </c>
      <c r="BX5" s="605" t="s">
        <v>299</v>
      </c>
      <c r="BY5" s="606" t="s">
        <v>300</v>
      </c>
      <c r="BZ5" s="435"/>
    </row>
    <row r="6" spans="1:78">
      <c r="A6" s="607">
        <f>'HSZ do groszy'!A6</f>
        <v>0</v>
      </c>
      <c r="B6" s="608">
        <f>ROUNDUP('HSZ do groszy'!B6,0)</f>
        <v>0</v>
      </c>
      <c r="C6" s="609">
        <f>ROUNDUP('HSZ do groszy'!C6,0)</f>
        <v>0</v>
      </c>
      <c r="D6" s="610">
        <f>ROUNDUP('HSZ do groszy'!D6,0)</f>
        <v>0</v>
      </c>
      <c r="E6" s="611">
        <f t="shared" ref="E6:E10" si="0">G6+I6+K6+M6+O6+Q6+S6+U6+W6+Y6+AA6+AC6+AE6+AG6</f>
        <v>0</v>
      </c>
      <c r="F6" s="612">
        <f t="shared" ref="F6:F10" si="1">H6+J6+L6+N6+P6+R6+T6+V6+X6+Z6+AB6+AD6+AF6+AH6</f>
        <v>0</v>
      </c>
      <c r="G6" s="609">
        <f>ROUNDUP('HSZ do groszy'!G6,0)</f>
        <v>0</v>
      </c>
      <c r="H6" s="610">
        <f>ROUNDUP('HSZ do groszy'!H6,0)</f>
        <v>0</v>
      </c>
      <c r="I6" s="609">
        <f>ROUNDUP('HSZ do groszy'!I6,0)</f>
        <v>0</v>
      </c>
      <c r="J6" s="610">
        <f>ROUNDUP('HSZ do groszy'!J6,0)</f>
        <v>0</v>
      </c>
      <c r="K6" s="613">
        <f>ROUNDUP('HSZ do groszy'!K6,0)</f>
        <v>0</v>
      </c>
      <c r="L6" s="608">
        <f>ROUNDUP('HSZ do groszy'!L6,0)</f>
        <v>0</v>
      </c>
      <c r="M6" s="609">
        <f>ROUNDUP('HSZ do groszy'!M6,0)</f>
        <v>0</v>
      </c>
      <c r="N6" s="610">
        <f>ROUNDUP('HSZ do groszy'!N6,0)</f>
        <v>0</v>
      </c>
      <c r="O6" s="613">
        <f>ROUNDUP('HSZ do groszy'!O6,0)</f>
        <v>0</v>
      </c>
      <c r="P6" s="608">
        <f>ROUNDUP('HSZ do groszy'!P6,0)</f>
        <v>0</v>
      </c>
      <c r="Q6" s="609">
        <f>ROUNDUP('HSZ do groszy'!Q6,0)</f>
        <v>0</v>
      </c>
      <c r="R6" s="610">
        <f>ROUNDUP('HSZ do groszy'!R6,0)</f>
        <v>0</v>
      </c>
      <c r="S6" s="613">
        <f>ROUNDUP('HSZ do groszy'!S6,0)</f>
        <v>0</v>
      </c>
      <c r="T6" s="608">
        <f>ROUNDUP('HSZ do groszy'!T6,0)</f>
        <v>0</v>
      </c>
      <c r="U6" s="609">
        <f>ROUNDUP('HSZ do groszy'!U6,0)</f>
        <v>0</v>
      </c>
      <c r="V6" s="610">
        <f>ROUNDUP('HSZ do groszy'!V6,0)</f>
        <v>0</v>
      </c>
      <c r="W6" s="613">
        <f>ROUNDUP('HSZ do groszy'!W6,0)</f>
        <v>0</v>
      </c>
      <c r="X6" s="608">
        <f>ROUNDUP('HSZ do groszy'!X6,0)</f>
        <v>0</v>
      </c>
      <c r="Y6" s="609">
        <f>ROUNDUP('HSZ do groszy'!Y6,0)</f>
        <v>0</v>
      </c>
      <c r="Z6" s="610">
        <f>ROUNDUP('HSZ do groszy'!Z6,0)</f>
        <v>0</v>
      </c>
      <c r="AA6" s="613">
        <f>ROUNDUP('HSZ do groszy'!AA6,0)</f>
        <v>0</v>
      </c>
      <c r="AB6" s="608">
        <f>ROUNDUP('HSZ do groszy'!AB6,0)</f>
        <v>0</v>
      </c>
      <c r="AC6" s="609">
        <f>ROUNDUP('HSZ do groszy'!AC6,0)</f>
        <v>0</v>
      </c>
      <c r="AD6" s="610">
        <f>ROUNDUP('HSZ do groszy'!AD6,0)</f>
        <v>0</v>
      </c>
      <c r="AE6" s="613">
        <f>ROUNDUP('HSZ do groszy'!AE6,0)</f>
        <v>0</v>
      </c>
      <c r="AF6" s="610">
        <f>ROUNDUP('HSZ do groszy'!AF6,0)</f>
        <v>0</v>
      </c>
      <c r="AG6" s="613">
        <f>ROUNDUP('HSZ do groszy'!AG6,0)</f>
        <v>0</v>
      </c>
      <c r="AH6" s="614">
        <f>ROUNDUP('HSZ do groszy'!AH6,0)</f>
        <v>0</v>
      </c>
      <c r="AI6" s="435"/>
      <c r="AJ6" s="435"/>
      <c r="AK6" s="615">
        <f>A6</f>
        <v>0</v>
      </c>
      <c r="AL6" s="616">
        <f>B6</f>
        <v>0</v>
      </c>
      <c r="AM6" s="609">
        <f>SUM($I6,$K6,$M6,$O6,$Q6,$S6,$U6,$W6,$Y6,$AA6,$AC6,$AE6,$AG6)</f>
        <v>0</v>
      </c>
      <c r="AN6" s="617">
        <f>SUM($J6,$L6,$N6,$P6,$R6,$T6,$V6,$X6,$Z6,$AB6,$AD6,$AF6,$AH6)</f>
        <v>0</v>
      </c>
      <c r="AO6" s="618">
        <f>SUM(AM6,AN6)</f>
        <v>0</v>
      </c>
      <c r="AP6" s="609">
        <f>SUM($K6,$M6,$O6,$Q6,$S6,$U6,$W6,$Y6,$AA6,$AC6,$AE6,$AG6)</f>
        <v>0</v>
      </c>
      <c r="AQ6" s="617">
        <f>SUM($L6,$N6,$P6,$R6,$T6,$V6,$X6,$Z6,$AB6,$AD6,$AF6,$AH6)</f>
        <v>0</v>
      </c>
      <c r="AR6" s="618">
        <f>SUM(AP6,AQ6)</f>
        <v>0</v>
      </c>
      <c r="AS6" s="609">
        <f>SUM($M6,$O6,$Q6,$S6,$U6,$W6,$Y6,$AA6,$AC6,$AE6,$AG6)</f>
        <v>0</v>
      </c>
      <c r="AT6" s="617">
        <f>SUM($N6,$P6,$R6,$T6,$V6,$X6,$Z6,$AB6,$AD6,$AF6,$AH6)</f>
        <v>0</v>
      </c>
      <c r="AU6" s="618">
        <f>SUM(AS6,AT6)</f>
        <v>0</v>
      </c>
      <c r="AV6" s="609">
        <f>SUM($O6,$Q6,$S6,$U6,$W6,$Y6,$AA6,$AC6,$AE6,$AG6)</f>
        <v>0</v>
      </c>
      <c r="AW6" s="617">
        <f>SUM($P6,$R6,$T6,$V6,$X6,$Z6,$AB6,$AD6,$AF6,$AH6)</f>
        <v>0</v>
      </c>
      <c r="AX6" s="618">
        <f>SUM(AV6,AW6)</f>
        <v>0</v>
      </c>
      <c r="AY6" s="609">
        <f>SUM($Q6,$S6,$U6,$W6,$Y6,$AA6,$AC6,$AE6,$AG6)</f>
        <v>0</v>
      </c>
      <c r="AZ6" s="617">
        <f>SUM($R6,$T6,$V6,$X6,$Z6,$AB6,$AD6,$AF6,$AH6)</f>
        <v>0</v>
      </c>
      <c r="BA6" s="618">
        <f>SUM(AY6,AZ6)</f>
        <v>0</v>
      </c>
      <c r="BB6" s="609">
        <f>SUM($S6,$U6,$W6,$Y6,$AA6,$AC6,$AE6,$AG6)</f>
        <v>0</v>
      </c>
      <c r="BC6" s="617">
        <f>SUM($T6,$V6,$X6,$Z6,$AB6,$AD6,$AF6,$AH6)</f>
        <v>0</v>
      </c>
      <c r="BD6" s="618">
        <f>SUM(BB6,BC6)</f>
        <v>0</v>
      </c>
      <c r="BE6" s="609">
        <f>SUM($U6,$W6,$Y6,$AA6,$AC6,$AE6,$AG6)</f>
        <v>0</v>
      </c>
      <c r="BF6" s="617">
        <f>SUM($V6,$X6,$Z6,$AB6,$AD6,$AF6,$AH6)</f>
        <v>0</v>
      </c>
      <c r="BG6" s="618">
        <f>SUM(BE6,BF6)</f>
        <v>0</v>
      </c>
      <c r="BH6" s="609">
        <f>SUM($W6,$Y6,$AA6,$AC6,$AE6,$AG6)</f>
        <v>0</v>
      </c>
      <c r="BI6" s="617">
        <f>SUM($X6,$Z6,$AB6,$AD6,$AF6,$AH6)</f>
        <v>0</v>
      </c>
      <c r="BJ6" s="618">
        <f>SUM(BH6,BI6)</f>
        <v>0</v>
      </c>
      <c r="BK6" s="609">
        <f>SUM($Y6,$AA6,$AC6,$AE6,$AG6)</f>
        <v>0</v>
      </c>
      <c r="BL6" s="617">
        <f>SUM($Z6,$AB6,$AD6,$AF6,$AH6)</f>
        <v>0</v>
      </c>
      <c r="BM6" s="618">
        <f>SUM(BK6,BL6)</f>
        <v>0</v>
      </c>
      <c r="BN6" s="609">
        <f>SUM($AA6,$AC6,$AE6,$AG6)</f>
        <v>0</v>
      </c>
      <c r="BO6" s="617">
        <f>SUM($AB6,$AD6,$AF6,$AH6)</f>
        <v>0</v>
      </c>
      <c r="BP6" s="618">
        <f>SUM(BN6,BO6)</f>
        <v>0</v>
      </c>
      <c r="BQ6" s="609">
        <f>SUM($AC6,$AE6,$AG6)</f>
        <v>0</v>
      </c>
      <c r="BR6" s="617">
        <f>SUM($AD6,$AF6,$AH6)</f>
        <v>0</v>
      </c>
      <c r="BS6" s="618">
        <f>SUM(BQ6,BR6)</f>
        <v>0</v>
      </c>
      <c r="BT6" s="609">
        <f>SUM($AE6,$AG6)</f>
        <v>0</v>
      </c>
      <c r="BU6" s="617">
        <f>SUM($AF6,$AH6)</f>
        <v>0</v>
      </c>
      <c r="BV6" s="618">
        <f>SUM(BT6,BU6)</f>
        <v>0</v>
      </c>
      <c r="BW6" s="609">
        <f>SUM($AG6)</f>
        <v>0</v>
      </c>
      <c r="BX6" s="617">
        <f>SUM($AH6)</f>
        <v>0</v>
      </c>
      <c r="BY6" s="618">
        <f>SUM(BW6,BX6)</f>
        <v>0</v>
      </c>
      <c r="BZ6" s="435"/>
    </row>
    <row r="7" spans="1:78">
      <c r="A7" s="607">
        <f>'HSZ do groszy'!A7</f>
        <v>0</v>
      </c>
      <c r="B7" s="608">
        <f>ROUNDUP('HSZ do groszy'!B7,0)</f>
        <v>0</v>
      </c>
      <c r="C7" s="609">
        <f>ROUNDUP('HSZ do groszy'!C7,0)</f>
        <v>0</v>
      </c>
      <c r="D7" s="610">
        <f>ROUNDUP('HSZ do groszy'!D7,0)</f>
        <v>0</v>
      </c>
      <c r="E7" s="611">
        <f t="shared" si="0"/>
        <v>0</v>
      </c>
      <c r="F7" s="612">
        <f t="shared" si="1"/>
        <v>0</v>
      </c>
      <c r="G7" s="609">
        <f>ROUNDUP('HSZ do groszy'!G7,0)</f>
        <v>0</v>
      </c>
      <c r="H7" s="610">
        <f>ROUNDUP('HSZ do groszy'!H7,0)</f>
        <v>0</v>
      </c>
      <c r="I7" s="609">
        <f>ROUNDUP('HSZ do groszy'!I7,0)</f>
        <v>0</v>
      </c>
      <c r="J7" s="610">
        <f>ROUNDUP('HSZ do groszy'!J7,0)</f>
        <v>0</v>
      </c>
      <c r="K7" s="613">
        <f>ROUNDUP('HSZ do groszy'!K7,0)</f>
        <v>0</v>
      </c>
      <c r="L7" s="608">
        <f>ROUNDUP('HSZ do groszy'!L7,0)</f>
        <v>0</v>
      </c>
      <c r="M7" s="609">
        <f>ROUNDUP('HSZ do groszy'!M7,0)</f>
        <v>0</v>
      </c>
      <c r="N7" s="610">
        <f>ROUNDUP('HSZ do groszy'!N7,0)</f>
        <v>0</v>
      </c>
      <c r="O7" s="613">
        <f>ROUNDUP('HSZ do groszy'!O7,0)</f>
        <v>0</v>
      </c>
      <c r="P7" s="608">
        <f>ROUNDUP('HSZ do groszy'!P7,0)</f>
        <v>0</v>
      </c>
      <c r="Q7" s="609">
        <f>ROUNDUP('HSZ do groszy'!Q7,0)</f>
        <v>0</v>
      </c>
      <c r="R7" s="610">
        <f>ROUNDUP('HSZ do groszy'!R7,0)</f>
        <v>0</v>
      </c>
      <c r="S7" s="613">
        <f>ROUNDUP('HSZ do groszy'!S7,0)</f>
        <v>0</v>
      </c>
      <c r="T7" s="608">
        <f>ROUNDUP('HSZ do groszy'!T7,0)</f>
        <v>0</v>
      </c>
      <c r="U7" s="609">
        <f>ROUNDUP('HSZ do groszy'!U7,0)</f>
        <v>0</v>
      </c>
      <c r="V7" s="610">
        <f>ROUNDUP('HSZ do groszy'!V7,0)</f>
        <v>0</v>
      </c>
      <c r="W7" s="613">
        <f>ROUNDUP('HSZ do groszy'!W7,0)</f>
        <v>0</v>
      </c>
      <c r="X7" s="608">
        <f>ROUNDUP('HSZ do groszy'!X7,0)</f>
        <v>0</v>
      </c>
      <c r="Y7" s="609">
        <f>ROUNDUP('HSZ do groszy'!Y7,0)</f>
        <v>0</v>
      </c>
      <c r="Z7" s="610">
        <f>ROUNDUP('HSZ do groszy'!Z7,0)</f>
        <v>0</v>
      </c>
      <c r="AA7" s="613">
        <f>ROUNDUP('HSZ do groszy'!AA7,0)</f>
        <v>0</v>
      </c>
      <c r="AB7" s="608">
        <f>ROUNDUP('HSZ do groszy'!AB7,0)</f>
        <v>0</v>
      </c>
      <c r="AC7" s="609">
        <f>ROUNDUP('HSZ do groszy'!AC7,0)</f>
        <v>0</v>
      </c>
      <c r="AD7" s="610">
        <f>ROUNDUP('HSZ do groszy'!AD7,0)</f>
        <v>0</v>
      </c>
      <c r="AE7" s="613">
        <f>ROUNDUP('HSZ do groszy'!AE7,0)</f>
        <v>0</v>
      </c>
      <c r="AF7" s="610">
        <f>ROUNDUP('HSZ do groszy'!AF7,0)</f>
        <v>0</v>
      </c>
      <c r="AG7" s="613">
        <f>ROUNDUP('HSZ do groszy'!AG7,0)</f>
        <v>0</v>
      </c>
      <c r="AH7" s="614">
        <f>ROUNDUP('HSZ do groszy'!AH7,0)</f>
        <v>0</v>
      </c>
      <c r="AI7" s="435"/>
      <c r="AJ7" s="435"/>
      <c r="AK7" s="615">
        <f t="shared" ref="AK7:AL10" si="2">A7</f>
        <v>0</v>
      </c>
      <c r="AL7" s="616">
        <f t="shared" si="2"/>
        <v>0</v>
      </c>
      <c r="AM7" s="609">
        <f>SUM($I7,$K7,$M7,$O7,$Q7,$S7,$U7,$W7,$Y7,$AA7,$AC7,$AE7,$AG7)</f>
        <v>0</v>
      </c>
      <c r="AN7" s="617">
        <f>SUM($J7,$L7,$N7,$P7,$R7,$T7,$V7,$X7,$Z7,$AB7,$AD7,$AF7,$AH7)</f>
        <v>0</v>
      </c>
      <c r="AO7" s="618">
        <f>SUM(AM7,AN7)</f>
        <v>0</v>
      </c>
      <c r="AP7" s="609">
        <f>SUM($K7,$M7,$O7,$Q7,$S7,$U7,$W7,$Y7,$AA7,$AC7,$AE7,$AG7)</f>
        <v>0</v>
      </c>
      <c r="AQ7" s="617">
        <f>SUM($L7,$N7,$P7,$R7,$T7,$V7,$X7,$Z7,$AB7,$AD7,$AF7,$AH7)</f>
        <v>0</v>
      </c>
      <c r="AR7" s="618">
        <f>SUM(AP7,AQ7)</f>
        <v>0</v>
      </c>
      <c r="AS7" s="609">
        <f>SUM($M7,$O7,$Q7,$S7,$U7,$W7,$Y7,$AA7,$AC7,$AE7,$AG7)</f>
        <v>0</v>
      </c>
      <c r="AT7" s="617">
        <f>SUM($N7,$P7,$R7,$T7,$V7,$X7,$Z7,$AB7,$AD7,$AF7,$AH7)</f>
        <v>0</v>
      </c>
      <c r="AU7" s="618">
        <f>SUM(AS7,AT7)</f>
        <v>0</v>
      </c>
      <c r="AV7" s="609">
        <f>SUM($O7,$Q7,$S7,$U7,$W7,$Y7,$AA7,$AC7,$AE7,$AG7)</f>
        <v>0</v>
      </c>
      <c r="AW7" s="617">
        <f>SUM($P7,$R7,$T7,$V7,$X7,$Z7,$AB7,$AD7,$AF7,$AH7)</f>
        <v>0</v>
      </c>
      <c r="AX7" s="618">
        <f>SUM(AV7,AW7)</f>
        <v>0</v>
      </c>
      <c r="AY7" s="609">
        <f>SUM($Q7,$S7,$U7,$W7,$Y7,$AA7,$AC7,$AE7,$AG7)</f>
        <v>0</v>
      </c>
      <c r="AZ7" s="617">
        <f>SUM($R7,$T7,$V7,$X7,$Z7,$AB7,$AD7,$AF7,$AH7)</f>
        <v>0</v>
      </c>
      <c r="BA7" s="618">
        <f>SUM(AY7,AZ7)</f>
        <v>0</v>
      </c>
      <c r="BB7" s="609">
        <f>SUM($S7,$U7,$W7,$Y7,$AA7,$AC7,$AE7,$AG7)</f>
        <v>0</v>
      </c>
      <c r="BC7" s="617">
        <f>SUM($T7,$V7,$X7,$Z7,$AB7,$AD7,$AF7,$AH7)</f>
        <v>0</v>
      </c>
      <c r="BD7" s="618">
        <f>SUM(BB7,BC7)</f>
        <v>0</v>
      </c>
      <c r="BE7" s="609">
        <f>SUM($U7,$W7,$Y7,$AA7,$AC7,$AE7,$AG7)</f>
        <v>0</v>
      </c>
      <c r="BF7" s="617">
        <f>SUM($V7,$X7,$Z7,$AB7,$AD7,$AF7,$AH7)</f>
        <v>0</v>
      </c>
      <c r="BG7" s="618">
        <f>SUM(BE7,BF7)</f>
        <v>0</v>
      </c>
      <c r="BH7" s="609">
        <f>SUM($W7,$Y7,$AA7,$AC7,$AE7,$AG7)</f>
        <v>0</v>
      </c>
      <c r="BI7" s="617">
        <f>SUM($X7,$Z7,$AB7,$AD7,$AF7,$AH7)</f>
        <v>0</v>
      </c>
      <c r="BJ7" s="618">
        <f>SUM(BH7,BI7)</f>
        <v>0</v>
      </c>
      <c r="BK7" s="609">
        <f>SUM($Y7,$AA7,$AC7,$AE7,$AG7)</f>
        <v>0</v>
      </c>
      <c r="BL7" s="617">
        <f>SUM($Z7,$AB7,$AD7,$AF7,$AH7)</f>
        <v>0</v>
      </c>
      <c r="BM7" s="618">
        <f>SUM(BK7,BL7)</f>
        <v>0</v>
      </c>
      <c r="BN7" s="609">
        <f>SUM($AA7,$AC7,$AE7,$AG7)</f>
        <v>0</v>
      </c>
      <c r="BO7" s="617">
        <f>SUM($AB7,$AD7,$AF7,$AH7)</f>
        <v>0</v>
      </c>
      <c r="BP7" s="618">
        <f>SUM(BN7,BO7)</f>
        <v>0</v>
      </c>
      <c r="BQ7" s="609">
        <f>SUM($AC7,$AE7,$AG7)</f>
        <v>0</v>
      </c>
      <c r="BR7" s="617">
        <f>SUM($AD7,$AF7,$AH7)</f>
        <v>0</v>
      </c>
      <c r="BS7" s="618">
        <f>SUM(BQ7,BR7)</f>
        <v>0</v>
      </c>
      <c r="BT7" s="609">
        <f>SUM($AE7,$AG7)</f>
        <v>0</v>
      </c>
      <c r="BU7" s="617">
        <f>SUM($AF7,$AH7)</f>
        <v>0</v>
      </c>
      <c r="BV7" s="618">
        <f>SUM(BT7,BU7)</f>
        <v>0</v>
      </c>
      <c r="BW7" s="609">
        <f>SUM($AG7)</f>
        <v>0</v>
      </c>
      <c r="BX7" s="617">
        <f>SUM($AH7)</f>
        <v>0</v>
      </c>
      <c r="BY7" s="618">
        <f>SUM(BW7,BX7)</f>
        <v>0</v>
      </c>
      <c r="BZ7" s="435"/>
    </row>
    <row r="8" spans="1:78" s="476" customFormat="1">
      <c r="A8" s="607" t="str">
        <f>'HSZ do groszy'!A8</f>
        <v xml:space="preserve"> -</v>
      </c>
      <c r="B8" s="608">
        <f>ROUNDUP('HSZ do groszy'!B8,0)</f>
        <v>0</v>
      </c>
      <c r="C8" s="609">
        <f>ROUNDUP('HSZ do groszy'!C8,0)</f>
        <v>0</v>
      </c>
      <c r="D8" s="610">
        <f>ROUNDUP('HSZ do groszy'!D8,0)</f>
        <v>0</v>
      </c>
      <c r="E8" s="611">
        <f t="shared" si="0"/>
        <v>0</v>
      </c>
      <c r="F8" s="612">
        <f t="shared" si="1"/>
        <v>0</v>
      </c>
      <c r="G8" s="609">
        <f>ROUNDUP('HSZ do groszy'!G8,0)</f>
        <v>0</v>
      </c>
      <c r="H8" s="610">
        <f>ROUNDUP('HSZ do groszy'!H8,0)</f>
        <v>0</v>
      </c>
      <c r="I8" s="609">
        <f>ROUNDUP('HSZ do groszy'!I8,0)</f>
        <v>0</v>
      </c>
      <c r="J8" s="610">
        <f>ROUNDUP('HSZ do groszy'!J8,0)</f>
        <v>0</v>
      </c>
      <c r="K8" s="613">
        <f>ROUNDUP('HSZ do groszy'!K8,0)</f>
        <v>0</v>
      </c>
      <c r="L8" s="608">
        <f>ROUNDUP('HSZ do groszy'!L8,0)</f>
        <v>0</v>
      </c>
      <c r="M8" s="609">
        <f>ROUNDUP('HSZ do groszy'!M8,0)</f>
        <v>0</v>
      </c>
      <c r="N8" s="610">
        <f>ROUNDUP('HSZ do groszy'!N8,0)</f>
        <v>0</v>
      </c>
      <c r="O8" s="613">
        <f>ROUNDUP('HSZ do groszy'!O8,0)</f>
        <v>0</v>
      </c>
      <c r="P8" s="608">
        <f>ROUNDUP('HSZ do groszy'!P8,0)</f>
        <v>0</v>
      </c>
      <c r="Q8" s="609">
        <f>ROUNDUP('HSZ do groszy'!Q8,0)</f>
        <v>0</v>
      </c>
      <c r="R8" s="610">
        <f>ROUNDUP('HSZ do groszy'!R8,0)</f>
        <v>0</v>
      </c>
      <c r="S8" s="613">
        <f>ROUNDUP('HSZ do groszy'!S8,0)</f>
        <v>0</v>
      </c>
      <c r="T8" s="608">
        <f>ROUNDUP('HSZ do groszy'!T8,0)</f>
        <v>0</v>
      </c>
      <c r="U8" s="609">
        <f>ROUNDUP('HSZ do groszy'!U8,0)</f>
        <v>0</v>
      </c>
      <c r="V8" s="610">
        <f>ROUNDUP('HSZ do groszy'!V8,0)</f>
        <v>0</v>
      </c>
      <c r="W8" s="613">
        <f>ROUNDUP('HSZ do groszy'!W8,0)</f>
        <v>0</v>
      </c>
      <c r="X8" s="608">
        <f>ROUNDUP('HSZ do groszy'!X8,0)</f>
        <v>0</v>
      </c>
      <c r="Y8" s="609">
        <f>ROUNDUP('HSZ do groszy'!Y8,0)</f>
        <v>0</v>
      </c>
      <c r="Z8" s="610">
        <f>ROUNDUP('HSZ do groszy'!Z8,0)</f>
        <v>0</v>
      </c>
      <c r="AA8" s="613">
        <f>ROUNDUP('HSZ do groszy'!AA8,0)</f>
        <v>0</v>
      </c>
      <c r="AB8" s="608">
        <f>ROUNDUP('HSZ do groszy'!AB8,0)</f>
        <v>0</v>
      </c>
      <c r="AC8" s="609">
        <f>ROUNDUP('HSZ do groszy'!AC8,0)</f>
        <v>0</v>
      </c>
      <c r="AD8" s="610">
        <f>ROUNDUP('HSZ do groszy'!AD8,0)</f>
        <v>0</v>
      </c>
      <c r="AE8" s="613">
        <f>ROUNDUP('HSZ do groszy'!AE8,0)</f>
        <v>0</v>
      </c>
      <c r="AF8" s="610">
        <f>ROUNDUP('HSZ do groszy'!AF8,0)</f>
        <v>0</v>
      </c>
      <c r="AG8" s="613">
        <f>ROUNDUP('HSZ do groszy'!AG8,0)</f>
        <v>0</v>
      </c>
      <c r="AH8" s="614">
        <f>ROUNDUP('HSZ do groszy'!AH8,0)</f>
        <v>0</v>
      </c>
      <c r="AI8" s="619"/>
      <c r="AJ8" s="619"/>
      <c r="AK8" s="615" t="str">
        <f t="shared" si="2"/>
        <v xml:space="preserve"> -</v>
      </c>
      <c r="AL8" s="616">
        <f t="shared" si="2"/>
        <v>0</v>
      </c>
      <c r="AM8" s="609">
        <f>SUM($I8,$K8,$M8,$O8,$Q8,$S8,$U8,$W8,$Y8,$AA8,$AC8,$AE8,$AG8)</f>
        <v>0</v>
      </c>
      <c r="AN8" s="617">
        <f>SUM($J8,$L8,$N8,$P8,$R8,$T8,$V8,$X8,$Z8,$AB8,$AD8,$AF8,$AH8)</f>
        <v>0</v>
      </c>
      <c r="AO8" s="618">
        <f>SUM(AM8,AN8)</f>
        <v>0</v>
      </c>
      <c r="AP8" s="609">
        <f>SUM($K8,$M8,$O8,$Q8,$S8,$U8,$W8,$Y8,$AA8,$AC8,$AE8,$AG8)</f>
        <v>0</v>
      </c>
      <c r="AQ8" s="617">
        <f>SUM($L8,$N8,$P8,$R8,$T8,$V8,$X8,$Z8,$AB8,$AD8,$AF8,$AH8)</f>
        <v>0</v>
      </c>
      <c r="AR8" s="618">
        <f>SUM(AP8,AQ8)</f>
        <v>0</v>
      </c>
      <c r="AS8" s="609">
        <f>SUM($M8,$O8,$Q8,$S8,$U8,$W8,$Y8,$AA8,$AC8,$AE8,$AG8)</f>
        <v>0</v>
      </c>
      <c r="AT8" s="617">
        <f>SUM($N8,$P8,$R8,$T8,$V8,$X8,$Z8,$AB8,$AD8,$AF8,$AH8)</f>
        <v>0</v>
      </c>
      <c r="AU8" s="618">
        <f>SUM(AS8,AT8)</f>
        <v>0</v>
      </c>
      <c r="AV8" s="609">
        <f>SUM($O8,$Q8,$S8,$U8,$W8,$Y8,$AA8,$AC8,$AE8,$AG8)</f>
        <v>0</v>
      </c>
      <c r="AW8" s="617">
        <f>SUM($P8,$R8,$T8,$V8,$X8,$Z8,$AB8,$AD8,$AF8,$AH8)</f>
        <v>0</v>
      </c>
      <c r="AX8" s="618">
        <f>SUM(AV8,AW8)</f>
        <v>0</v>
      </c>
      <c r="AY8" s="609">
        <f>SUM($Q8,$S8,$U8,$W8,$Y8,$AA8,$AC8,$AE8,$AG8)</f>
        <v>0</v>
      </c>
      <c r="AZ8" s="617">
        <f>SUM($R8,$T8,$V8,$X8,$Z8,$AB8,$AD8,$AF8,$AH8)</f>
        <v>0</v>
      </c>
      <c r="BA8" s="618">
        <f>SUM(AY8,AZ8)</f>
        <v>0</v>
      </c>
      <c r="BB8" s="609">
        <f>SUM($S8,$U8,$W8,$Y8,$AA8,$AC8,$AE8,$AG8)</f>
        <v>0</v>
      </c>
      <c r="BC8" s="617">
        <f>SUM($T8,$V8,$X8,$Z8,$AB8,$AD8,$AF8,$AH8)</f>
        <v>0</v>
      </c>
      <c r="BD8" s="618">
        <f>SUM(BB8,BC8)</f>
        <v>0</v>
      </c>
      <c r="BE8" s="609">
        <f>SUM($U8,$W8,$Y8,$AA8,$AC8,$AE8,$AG8)</f>
        <v>0</v>
      </c>
      <c r="BF8" s="617">
        <f>SUM($V8,$X8,$Z8,$AB8,$AD8,$AF8,$AH8)</f>
        <v>0</v>
      </c>
      <c r="BG8" s="618">
        <f>SUM(BE8,BF8)</f>
        <v>0</v>
      </c>
      <c r="BH8" s="609">
        <f>SUM($W8,$Y8,$AA8,$AC8,$AE8,$AG8)</f>
        <v>0</v>
      </c>
      <c r="BI8" s="617">
        <f>SUM($X8,$Z8,$AB8,$AD8,$AF8,$AH8)</f>
        <v>0</v>
      </c>
      <c r="BJ8" s="618">
        <f>SUM(BH8,BI8)</f>
        <v>0</v>
      </c>
      <c r="BK8" s="609">
        <f>SUM($Y8,$AA8,$AC8,$AE8,$AG8)</f>
        <v>0</v>
      </c>
      <c r="BL8" s="617">
        <f>SUM($Z8,$AB8,$AD8,$AF8,$AH8)</f>
        <v>0</v>
      </c>
      <c r="BM8" s="618">
        <f>SUM(BK8,BL8)</f>
        <v>0</v>
      </c>
      <c r="BN8" s="609">
        <f>SUM($AA8,$AC8,$AE8,$AG8)</f>
        <v>0</v>
      </c>
      <c r="BO8" s="617">
        <f>SUM($AB8,$AD8,$AF8,$AH8)</f>
        <v>0</v>
      </c>
      <c r="BP8" s="618">
        <f>SUM(BN8,BO8)</f>
        <v>0</v>
      </c>
      <c r="BQ8" s="609">
        <f>SUM($AC8,$AE8,$AG8)</f>
        <v>0</v>
      </c>
      <c r="BR8" s="617">
        <f>SUM($AD8,$AF8,$AH8)</f>
        <v>0</v>
      </c>
      <c r="BS8" s="618">
        <f>SUM(BQ8,BR8)</f>
        <v>0</v>
      </c>
      <c r="BT8" s="609">
        <f>SUM($AE8,$AG8)</f>
        <v>0</v>
      </c>
      <c r="BU8" s="617">
        <f>SUM($AF8,$AH8)</f>
        <v>0</v>
      </c>
      <c r="BV8" s="618">
        <f>SUM(BT8,BU8)</f>
        <v>0</v>
      </c>
      <c r="BW8" s="609">
        <f>SUM($AG8)</f>
        <v>0</v>
      </c>
      <c r="BX8" s="617">
        <f>SUM($AH8)</f>
        <v>0</v>
      </c>
      <c r="BY8" s="618">
        <f>SUM(BW8,BX8)</f>
        <v>0</v>
      </c>
      <c r="BZ8" s="619"/>
    </row>
    <row r="9" spans="1:78">
      <c r="A9" s="607" t="str">
        <f>'HSZ do groszy'!A9</f>
        <v xml:space="preserve"> -</v>
      </c>
      <c r="B9" s="608">
        <f>ROUNDUP('HSZ do groszy'!B9,0)</f>
        <v>0</v>
      </c>
      <c r="C9" s="609">
        <f>ROUNDUP('HSZ do groszy'!C9,0)</f>
        <v>0</v>
      </c>
      <c r="D9" s="610">
        <f>ROUNDUP('HSZ do groszy'!D9,0)</f>
        <v>0</v>
      </c>
      <c r="E9" s="611">
        <f t="shared" si="0"/>
        <v>0</v>
      </c>
      <c r="F9" s="612">
        <f t="shared" si="1"/>
        <v>0</v>
      </c>
      <c r="G9" s="609">
        <f>ROUNDUP('HSZ do groszy'!G9,0)</f>
        <v>0</v>
      </c>
      <c r="H9" s="610">
        <f>ROUNDUP('HSZ do groszy'!H9,0)</f>
        <v>0</v>
      </c>
      <c r="I9" s="609">
        <f>ROUNDUP('HSZ do groszy'!I9,0)</f>
        <v>0</v>
      </c>
      <c r="J9" s="610">
        <f>ROUNDUP('HSZ do groszy'!J9,0)</f>
        <v>0</v>
      </c>
      <c r="K9" s="613">
        <f>ROUNDUP('HSZ do groszy'!K9,0)</f>
        <v>0</v>
      </c>
      <c r="L9" s="608">
        <f>ROUNDUP('HSZ do groszy'!L9,0)</f>
        <v>0</v>
      </c>
      <c r="M9" s="609">
        <f>ROUNDUP('HSZ do groszy'!M9,0)</f>
        <v>0</v>
      </c>
      <c r="N9" s="610">
        <f>ROUNDUP('HSZ do groszy'!N9,0)</f>
        <v>0</v>
      </c>
      <c r="O9" s="613">
        <f>ROUNDUP('HSZ do groszy'!O9,0)</f>
        <v>0</v>
      </c>
      <c r="P9" s="608">
        <f>ROUNDUP('HSZ do groszy'!P9,0)</f>
        <v>0</v>
      </c>
      <c r="Q9" s="609">
        <f>ROUNDUP('HSZ do groszy'!Q9,0)</f>
        <v>0</v>
      </c>
      <c r="R9" s="610">
        <f>ROUNDUP('HSZ do groszy'!R9,0)</f>
        <v>0</v>
      </c>
      <c r="S9" s="613">
        <f>ROUNDUP('HSZ do groszy'!S9,0)</f>
        <v>0</v>
      </c>
      <c r="T9" s="608">
        <f>ROUNDUP('HSZ do groszy'!T9,0)</f>
        <v>0</v>
      </c>
      <c r="U9" s="609">
        <f>ROUNDUP('HSZ do groszy'!U9,0)</f>
        <v>0</v>
      </c>
      <c r="V9" s="610">
        <f>ROUNDUP('HSZ do groszy'!V9,0)</f>
        <v>0</v>
      </c>
      <c r="W9" s="613">
        <f>ROUNDUP('HSZ do groszy'!W9,0)</f>
        <v>0</v>
      </c>
      <c r="X9" s="608">
        <f>ROUNDUP('HSZ do groszy'!X9,0)</f>
        <v>0</v>
      </c>
      <c r="Y9" s="609">
        <f>ROUNDUP('HSZ do groszy'!Y9,0)</f>
        <v>0</v>
      </c>
      <c r="Z9" s="610">
        <f>ROUNDUP('HSZ do groszy'!Z9,0)</f>
        <v>0</v>
      </c>
      <c r="AA9" s="613">
        <f>ROUNDUP('HSZ do groszy'!AA9,0)</f>
        <v>0</v>
      </c>
      <c r="AB9" s="608">
        <f>ROUNDUP('HSZ do groszy'!AB9,0)</f>
        <v>0</v>
      </c>
      <c r="AC9" s="609">
        <f>ROUNDUP('HSZ do groszy'!AC9,0)</f>
        <v>0</v>
      </c>
      <c r="AD9" s="610">
        <f>ROUNDUP('HSZ do groszy'!AD9,0)</f>
        <v>0</v>
      </c>
      <c r="AE9" s="613">
        <f>ROUNDUP('HSZ do groszy'!AE9,0)</f>
        <v>0</v>
      </c>
      <c r="AF9" s="610">
        <f>ROUNDUP('HSZ do groszy'!AF9,0)</f>
        <v>0</v>
      </c>
      <c r="AG9" s="613">
        <f>ROUNDUP('HSZ do groszy'!AG9,0)</f>
        <v>0</v>
      </c>
      <c r="AH9" s="614">
        <f>ROUNDUP('HSZ do groszy'!AH9,0)</f>
        <v>0</v>
      </c>
      <c r="AI9" s="435"/>
      <c r="AJ9" s="435"/>
      <c r="AK9" s="615" t="str">
        <f t="shared" si="2"/>
        <v xml:space="preserve"> -</v>
      </c>
      <c r="AL9" s="616">
        <f t="shared" si="2"/>
        <v>0</v>
      </c>
      <c r="AM9" s="609">
        <f>SUM($I9,$K9,$M9,$O9,$Q9,$S9,$U9,$W9,$Y9,$AA9,$AC9,$AE9,$AG9)</f>
        <v>0</v>
      </c>
      <c r="AN9" s="617">
        <f>SUM($J9,$L9,$N9,$P9,$R9,$T9,$V9,$X9,$Z9,$AB9,$AD9,$AF9,$AH9)</f>
        <v>0</v>
      </c>
      <c r="AO9" s="618">
        <f>SUM(AM9,AN9)</f>
        <v>0</v>
      </c>
      <c r="AP9" s="609">
        <f>SUM($K9,$M9,$O9,$Q9,$S9,$U9,$W9,$Y9,$AA9,$AC9,$AE9,$AG9)</f>
        <v>0</v>
      </c>
      <c r="AQ9" s="617">
        <f>SUM($L9,$N9,$P9,$R9,$T9,$V9,$X9,$Z9,$AB9,$AD9,$AF9,$AH9)</f>
        <v>0</v>
      </c>
      <c r="AR9" s="618">
        <f>SUM(AP9,AQ9)</f>
        <v>0</v>
      </c>
      <c r="AS9" s="609">
        <f>SUM($M9,$O9,$Q9,$S9,$U9,$W9,$Y9,$AA9,$AC9,$AE9,$AG9)</f>
        <v>0</v>
      </c>
      <c r="AT9" s="617">
        <f>SUM($N9,$P9,$R9,$T9,$V9,$X9,$Z9,$AB9,$AD9,$AF9,$AH9)</f>
        <v>0</v>
      </c>
      <c r="AU9" s="618">
        <f>SUM(AS9,AT9)</f>
        <v>0</v>
      </c>
      <c r="AV9" s="609">
        <f>SUM($O9,$Q9,$S9,$U9,$W9,$Y9,$AA9,$AC9,$AE9,$AG9)</f>
        <v>0</v>
      </c>
      <c r="AW9" s="617">
        <f>SUM($P9,$R9,$T9,$V9,$X9,$Z9,$AB9,$AD9,$AF9,$AH9)</f>
        <v>0</v>
      </c>
      <c r="AX9" s="618">
        <f>SUM(AV9,AW9)</f>
        <v>0</v>
      </c>
      <c r="AY9" s="609">
        <f>SUM($Q9,$S9,$U9,$W9,$Y9,$AA9,$AC9,$AE9,$AG9)</f>
        <v>0</v>
      </c>
      <c r="AZ9" s="617">
        <f>SUM($R9,$T9,$V9,$X9,$Z9,$AB9,$AD9,$AF9,$AH9)</f>
        <v>0</v>
      </c>
      <c r="BA9" s="618">
        <f>SUM(AY9,AZ9)</f>
        <v>0</v>
      </c>
      <c r="BB9" s="609">
        <f>SUM($S9,$U9,$W9,$Y9,$AA9,$AC9,$AE9,$AG9)</f>
        <v>0</v>
      </c>
      <c r="BC9" s="617">
        <f>SUM($T9,$V9,$X9,$Z9,$AB9,$AD9,$AF9,$AH9)</f>
        <v>0</v>
      </c>
      <c r="BD9" s="618">
        <f>SUM(BB9,BC9)</f>
        <v>0</v>
      </c>
      <c r="BE9" s="609">
        <f>SUM($U9,$W9,$Y9,$AA9,$AC9,$AE9,$AG9)</f>
        <v>0</v>
      </c>
      <c r="BF9" s="617">
        <f>SUM($V9,$X9,$Z9,$AB9,$AD9,$AF9,$AH9)</f>
        <v>0</v>
      </c>
      <c r="BG9" s="618">
        <f>SUM(BE9,BF9)</f>
        <v>0</v>
      </c>
      <c r="BH9" s="609">
        <f>SUM($W9,$Y9,$AA9,$AC9,$AE9,$AG9)</f>
        <v>0</v>
      </c>
      <c r="BI9" s="617">
        <f>SUM($X9,$Z9,$AB9,$AD9,$AF9,$AH9)</f>
        <v>0</v>
      </c>
      <c r="BJ9" s="618">
        <f>SUM(BH9,BI9)</f>
        <v>0</v>
      </c>
      <c r="BK9" s="609">
        <f>SUM($Y9,$AA9,$AC9,$AE9,$AG9)</f>
        <v>0</v>
      </c>
      <c r="BL9" s="617">
        <f>SUM($Z9,$AB9,$AD9,$AF9,$AH9)</f>
        <v>0</v>
      </c>
      <c r="BM9" s="618">
        <f>SUM(BK9,BL9)</f>
        <v>0</v>
      </c>
      <c r="BN9" s="609">
        <f>SUM($AA9,$AC9,$AE9,$AG9)</f>
        <v>0</v>
      </c>
      <c r="BO9" s="617">
        <f>SUM($AB9,$AD9,$AF9,$AH9)</f>
        <v>0</v>
      </c>
      <c r="BP9" s="618">
        <f>SUM(BN9,BO9)</f>
        <v>0</v>
      </c>
      <c r="BQ9" s="609">
        <f>SUM($AC9,$AE9,$AG9)</f>
        <v>0</v>
      </c>
      <c r="BR9" s="617">
        <f>SUM($AD9,$AF9,$AH9)</f>
        <v>0</v>
      </c>
      <c r="BS9" s="618">
        <f>SUM(BQ9,BR9)</f>
        <v>0</v>
      </c>
      <c r="BT9" s="609">
        <f>SUM($AE9,$AG9)</f>
        <v>0</v>
      </c>
      <c r="BU9" s="617">
        <f>SUM($AF9,$AH9)</f>
        <v>0</v>
      </c>
      <c r="BV9" s="618">
        <f>SUM(BT9,BU9)</f>
        <v>0</v>
      </c>
      <c r="BW9" s="609">
        <f>SUM($AG9)</f>
        <v>0</v>
      </c>
      <c r="BX9" s="617">
        <f>SUM($AH9)</f>
        <v>0</v>
      </c>
      <c r="BY9" s="618">
        <f>SUM(BW9,BX9)</f>
        <v>0</v>
      </c>
      <c r="BZ9" s="435"/>
    </row>
    <row r="10" spans="1:78">
      <c r="A10" s="607" t="str">
        <f>'HSZ do groszy'!A10</f>
        <v xml:space="preserve"> -</v>
      </c>
      <c r="B10" s="620">
        <f>ROUNDUP('HSZ do groszy'!B10,0)</f>
        <v>0</v>
      </c>
      <c r="C10" s="609">
        <f>ROUNDUP('HSZ do groszy'!C10,0)</f>
        <v>0</v>
      </c>
      <c r="D10" s="610">
        <f>ROUNDUP('HSZ do groszy'!D10,0)</f>
        <v>0</v>
      </c>
      <c r="E10" s="611">
        <f t="shared" si="0"/>
        <v>0</v>
      </c>
      <c r="F10" s="612">
        <f t="shared" si="1"/>
        <v>0</v>
      </c>
      <c r="G10" s="609">
        <f>ROUNDUP('HSZ do groszy'!G10,0)</f>
        <v>0</v>
      </c>
      <c r="H10" s="610">
        <f>ROUNDUP('HSZ do groszy'!H10,0)</f>
        <v>0</v>
      </c>
      <c r="I10" s="609">
        <f>ROUNDUP('HSZ do groszy'!I10,0)</f>
        <v>0</v>
      </c>
      <c r="J10" s="610">
        <f>ROUNDUP('HSZ do groszy'!J10,0)</f>
        <v>0</v>
      </c>
      <c r="K10" s="613">
        <f>ROUNDUP('HSZ do groszy'!K10,0)</f>
        <v>0</v>
      </c>
      <c r="L10" s="608">
        <f>ROUNDUP('HSZ do groszy'!L10,0)</f>
        <v>0</v>
      </c>
      <c r="M10" s="609">
        <f>ROUNDUP('HSZ do groszy'!M10,0)</f>
        <v>0</v>
      </c>
      <c r="N10" s="610">
        <f>ROUNDUP('HSZ do groszy'!N10,0)</f>
        <v>0</v>
      </c>
      <c r="O10" s="613">
        <f>ROUNDUP('HSZ do groszy'!O10,0)</f>
        <v>0</v>
      </c>
      <c r="P10" s="608">
        <f>ROUNDUP('HSZ do groszy'!P10,0)</f>
        <v>0</v>
      </c>
      <c r="Q10" s="609">
        <f>ROUNDUP('HSZ do groszy'!Q10,0)</f>
        <v>0</v>
      </c>
      <c r="R10" s="610">
        <f>ROUNDUP('HSZ do groszy'!R10,0)</f>
        <v>0</v>
      </c>
      <c r="S10" s="613">
        <f>ROUNDUP('HSZ do groszy'!S10,0)</f>
        <v>0</v>
      </c>
      <c r="T10" s="608">
        <f>ROUNDUP('HSZ do groszy'!T10,0)</f>
        <v>0</v>
      </c>
      <c r="U10" s="609">
        <f>ROUNDUP('HSZ do groszy'!U10,0)</f>
        <v>0</v>
      </c>
      <c r="V10" s="610">
        <f>ROUNDUP('HSZ do groszy'!V10,0)</f>
        <v>0</v>
      </c>
      <c r="W10" s="613">
        <f>ROUNDUP('HSZ do groszy'!W10,0)</f>
        <v>0</v>
      </c>
      <c r="X10" s="608">
        <f>ROUNDUP('HSZ do groszy'!X10,0)</f>
        <v>0</v>
      </c>
      <c r="Y10" s="609">
        <f>ROUNDUP('HSZ do groszy'!Y10,0)</f>
        <v>0</v>
      </c>
      <c r="Z10" s="610">
        <f>ROUNDUP('HSZ do groszy'!Z10,0)</f>
        <v>0</v>
      </c>
      <c r="AA10" s="613">
        <f>ROUNDUP('HSZ do groszy'!AA10,0)</f>
        <v>0</v>
      </c>
      <c r="AB10" s="608">
        <f>ROUNDUP('HSZ do groszy'!AB10,0)</f>
        <v>0</v>
      </c>
      <c r="AC10" s="609">
        <f>ROUNDUP('HSZ do groszy'!AC10,0)</f>
        <v>0</v>
      </c>
      <c r="AD10" s="610">
        <f>ROUNDUP('HSZ do groszy'!AD10,0)</f>
        <v>0</v>
      </c>
      <c r="AE10" s="613">
        <f>ROUNDUP('HSZ do groszy'!AE10,0)</f>
        <v>0</v>
      </c>
      <c r="AF10" s="610">
        <f>ROUNDUP('HSZ do groszy'!AF10,0)</f>
        <v>0</v>
      </c>
      <c r="AG10" s="613">
        <f>ROUNDUP('HSZ do groszy'!AG10,0)</f>
        <v>0</v>
      </c>
      <c r="AH10" s="614">
        <f>ROUNDUP('HSZ do groszy'!AH10,0)</f>
        <v>0</v>
      </c>
      <c r="AI10" s="435"/>
      <c r="AJ10" s="435"/>
      <c r="AK10" s="615" t="str">
        <f t="shared" si="2"/>
        <v xml:space="preserve"> -</v>
      </c>
      <c r="AL10" s="616">
        <f t="shared" si="2"/>
        <v>0</v>
      </c>
      <c r="AM10" s="609">
        <f>SUM($I10,$K10,$M10,$O10,$Q10,$S10,$U10,$W10,$Y10,$AA10,$AC10,$AE10,$AG10)</f>
        <v>0</v>
      </c>
      <c r="AN10" s="617">
        <f>SUM($J10,$L10,$N10,$P10,$R10,$T10,$V10,$X10,$Z10,$AB10,$AD10,$AF10,$AH10)</f>
        <v>0</v>
      </c>
      <c r="AO10" s="618">
        <f>SUM(AM10,AN10)</f>
        <v>0</v>
      </c>
      <c r="AP10" s="609">
        <f>SUM($K10,$M10,$O10,$Q10,$S10,$U10,$W10,$Y10,$AA10,$AC10,$AE10,$AG10)</f>
        <v>0</v>
      </c>
      <c r="AQ10" s="617">
        <f>SUM($L10,$N10,$P10,$R10,$T10,$V10,$X10,$Z10,$AB10,$AD10,$AF10,$AH10)</f>
        <v>0</v>
      </c>
      <c r="AR10" s="618">
        <f>SUM(AP10,AQ10)</f>
        <v>0</v>
      </c>
      <c r="AS10" s="609">
        <f>SUM($M10,$O10,$Q10,$S10,$U10,$W10,$Y10,$AA10,$AC10,$AE10,$AG10)</f>
        <v>0</v>
      </c>
      <c r="AT10" s="617">
        <f>SUM($N10,$P10,$R10,$T10,$V10,$X10,$Z10,$AB10,$AD10,$AF10,$AH10)</f>
        <v>0</v>
      </c>
      <c r="AU10" s="618">
        <f>SUM(AS10,AT10)</f>
        <v>0</v>
      </c>
      <c r="AV10" s="609">
        <f>SUM($O10,$Q10,$S10,$U10,$W10,$Y10,$AA10,$AC10,$AE10,$AG10)</f>
        <v>0</v>
      </c>
      <c r="AW10" s="617">
        <f>SUM($P10,$R10,$T10,$V10,$X10,$Z10,$AB10,$AD10,$AF10,$AH10)</f>
        <v>0</v>
      </c>
      <c r="AX10" s="618">
        <f>SUM(AV10,AW10)</f>
        <v>0</v>
      </c>
      <c r="AY10" s="609">
        <f>SUM($Q10,$S10,$U10,$W10,$Y10,$AA10,$AC10,$AE10,$AG10)</f>
        <v>0</v>
      </c>
      <c r="AZ10" s="617">
        <f>SUM($R10,$T10,$V10,$X10,$Z10,$AB10,$AD10,$AF10,$AH10)</f>
        <v>0</v>
      </c>
      <c r="BA10" s="618">
        <f>SUM(AY10,AZ10)</f>
        <v>0</v>
      </c>
      <c r="BB10" s="609">
        <f>SUM($S10,$U10,$W10,$Y10,$AA10,$AC10,$AE10,$AG10)</f>
        <v>0</v>
      </c>
      <c r="BC10" s="617">
        <f>SUM($T10,$V10,$X10,$Z10,$AB10,$AD10,$AF10,$AH10)</f>
        <v>0</v>
      </c>
      <c r="BD10" s="618">
        <f>SUM(BB10,BC10)</f>
        <v>0</v>
      </c>
      <c r="BE10" s="609">
        <f>SUM($U10,$W10,$Y10,$AA10,$AC10,$AE10,$AG10)</f>
        <v>0</v>
      </c>
      <c r="BF10" s="617">
        <f>SUM($V10,$X10,$Z10,$AB10,$AD10,$AF10,$AH10)</f>
        <v>0</v>
      </c>
      <c r="BG10" s="618">
        <f>SUM(BE10,BF10)</f>
        <v>0</v>
      </c>
      <c r="BH10" s="609">
        <f>SUM($W10,$Y10,$AA10,$AC10,$AE10,$AG10)</f>
        <v>0</v>
      </c>
      <c r="BI10" s="617">
        <f>SUM($X10,$Z10,$AB10,$AD10,$AF10,$AH10)</f>
        <v>0</v>
      </c>
      <c r="BJ10" s="618">
        <f>SUM(BH10,BI10)</f>
        <v>0</v>
      </c>
      <c r="BK10" s="609">
        <f>SUM($Y10,$AA10,$AC10,$AE10,$AG10)</f>
        <v>0</v>
      </c>
      <c r="BL10" s="617">
        <f>SUM($Z10,$AB10,$AD10,$AF10,$AH10)</f>
        <v>0</v>
      </c>
      <c r="BM10" s="618">
        <f>SUM(BK10,BL10)</f>
        <v>0</v>
      </c>
      <c r="BN10" s="609">
        <f>SUM($AA10,$AC10,$AE10,$AG10)</f>
        <v>0</v>
      </c>
      <c r="BO10" s="617">
        <f>SUM($AB10,$AD10,$AF10,$AH10)</f>
        <v>0</v>
      </c>
      <c r="BP10" s="618">
        <f>SUM(BN10,BO10)</f>
        <v>0</v>
      </c>
      <c r="BQ10" s="609">
        <f>SUM($AC10,$AE10,$AG10)</f>
        <v>0</v>
      </c>
      <c r="BR10" s="617">
        <f>SUM($AD10,$AF10,$AH10)</f>
        <v>0</v>
      </c>
      <c r="BS10" s="618">
        <f>SUM(BQ10,BR10)</f>
        <v>0</v>
      </c>
      <c r="BT10" s="609">
        <f>SUM($AE10,$AG10)</f>
        <v>0</v>
      </c>
      <c r="BU10" s="617">
        <f>SUM($AF10,$AH10)</f>
        <v>0</v>
      </c>
      <c r="BV10" s="618">
        <f>SUM(BT10,BU10)</f>
        <v>0</v>
      </c>
      <c r="BW10" s="609">
        <f>SUM($AG10)</f>
        <v>0</v>
      </c>
      <c r="BX10" s="617">
        <f>SUM($AH10)</f>
        <v>0</v>
      </c>
      <c r="BY10" s="618">
        <f>SUM(BW10,BX10)</f>
        <v>0</v>
      </c>
      <c r="BZ10" s="435"/>
    </row>
    <row r="11" spans="1:78">
      <c r="A11" s="621" t="s">
        <v>302</v>
      </c>
      <c r="B11" s="622">
        <f t="shared" ref="B11:AD11" si="3">SUM(B6,B7,B9,B10)</f>
        <v>0</v>
      </c>
      <c r="C11" s="623">
        <f t="shared" si="3"/>
        <v>0</v>
      </c>
      <c r="D11" s="624">
        <f t="shared" si="3"/>
        <v>0</v>
      </c>
      <c r="E11" s="623">
        <f t="shared" si="3"/>
        <v>0</v>
      </c>
      <c r="F11" s="624">
        <f t="shared" si="3"/>
        <v>0</v>
      </c>
      <c r="G11" s="623">
        <f t="shared" si="3"/>
        <v>0</v>
      </c>
      <c r="H11" s="624">
        <f t="shared" si="3"/>
        <v>0</v>
      </c>
      <c r="I11" s="623">
        <f t="shared" si="3"/>
        <v>0</v>
      </c>
      <c r="J11" s="624">
        <f t="shared" si="3"/>
        <v>0</v>
      </c>
      <c r="K11" s="625">
        <f t="shared" si="3"/>
        <v>0</v>
      </c>
      <c r="L11" s="626">
        <f t="shared" si="3"/>
        <v>0</v>
      </c>
      <c r="M11" s="623">
        <f t="shared" si="3"/>
        <v>0</v>
      </c>
      <c r="N11" s="624">
        <f t="shared" si="3"/>
        <v>0</v>
      </c>
      <c r="O11" s="625">
        <f t="shared" si="3"/>
        <v>0</v>
      </c>
      <c r="P11" s="626">
        <f t="shared" si="3"/>
        <v>0</v>
      </c>
      <c r="Q11" s="623">
        <f t="shared" si="3"/>
        <v>0</v>
      </c>
      <c r="R11" s="624">
        <f t="shared" si="3"/>
        <v>0</v>
      </c>
      <c r="S11" s="625">
        <f t="shared" si="3"/>
        <v>0</v>
      </c>
      <c r="T11" s="626">
        <f t="shared" si="3"/>
        <v>0</v>
      </c>
      <c r="U11" s="623">
        <f t="shared" si="3"/>
        <v>0</v>
      </c>
      <c r="V11" s="624">
        <f t="shared" si="3"/>
        <v>0</v>
      </c>
      <c r="W11" s="625">
        <f t="shared" si="3"/>
        <v>0</v>
      </c>
      <c r="X11" s="626">
        <f t="shared" si="3"/>
        <v>0</v>
      </c>
      <c r="Y11" s="623">
        <f t="shared" si="3"/>
        <v>0</v>
      </c>
      <c r="Z11" s="624">
        <f t="shared" si="3"/>
        <v>0</v>
      </c>
      <c r="AA11" s="625">
        <f t="shared" si="3"/>
        <v>0</v>
      </c>
      <c r="AB11" s="626">
        <f t="shared" si="3"/>
        <v>0</v>
      </c>
      <c r="AC11" s="623">
        <f t="shared" si="3"/>
        <v>0</v>
      </c>
      <c r="AD11" s="624">
        <f t="shared" si="3"/>
        <v>0</v>
      </c>
      <c r="AE11" s="625">
        <f>SUM(AE6,AE7,AE9,AE10)</f>
        <v>0</v>
      </c>
      <c r="AF11" s="624">
        <f>SUM(AF6,AF7,AF9,AF10)</f>
        <v>0</v>
      </c>
      <c r="AG11" s="625">
        <f>SUM(AG6,AG7,AG9,AG10)</f>
        <v>0</v>
      </c>
      <c r="AH11" s="627">
        <f>SUM(AH6,AH7,AH9,AH10)</f>
        <v>0</v>
      </c>
      <c r="AI11" s="435"/>
      <c r="AJ11" s="435"/>
      <c r="AK11" s="628" t="s">
        <v>302</v>
      </c>
      <c r="AL11" s="629">
        <f>SUM(AL6,AL7,AL9,AL10)</f>
        <v>0</v>
      </c>
      <c r="AM11" s="630">
        <f>SUM(AM6:AM10)</f>
        <v>0</v>
      </c>
      <c r="AN11" s="631">
        <f t="shared" ref="AN11:BY11" si="4">SUM(AN6:AN10)</f>
        <v>0</v>
      </c>
      <c r="AO11" s="632">
        <f t="shared" si="4"/>
        <v>0</v>
      </c>
      <c r="AP11" s="630">
        <f t="shared" si="4"/>
        <v>0</v>
      </c>
      <c r="AQ11" s="631">
        <f t="shared" si="4"/>
        <v>0</v>
      </c>
      <c r="AR11" s="632">
        <f t="shared" si="4"/>
        <v>0</v>
      </c>
      <c r="AS11" s="630">
        <f t="shared" si="4"/>
        <v>0</v>
      </c>
      <c r="AT11" s="631">
        <f t="shared" si="4"/>
        <v>0</v>
      </c>
      <c r="AU11" s="632">
        <f t="shared" si="4"/>
        <v>0</v>
      </c>
      <c r="AV11" s="630">
        <f t="shared" si="4"/>
        <v>0</v>
      </c>
      <c r="AW11" s="631">
        <f t="shared" si="4"/>
        <v>0</v>
      </c>
      <c r="AX11" s="632">
        <f t="shared" si="4"/>
        <v>0</v>
      </c>
      <c r="AY11" s="630">
        <f t="shared" si="4"/>
        <v>0</v>
      </c>
      <c r="AZ11" s="631">
        <f t="shared" si="4"/>
        <v>0</v>
      </c>
      <c r="BA11" s="632">
        <f t="shared" si="4"/>
        <v>0</v>
      </c>
      <c r="BB11" s="630">
        <f t="shared" si="4"/>
        <v>0</v>
      </c>
      <c r="BC11" s="631">
        <f t="shared" si="4"/>
        <v>0</v>
      </c>
      <c r="BD11" s="632">
        <f t="shared" si="4"/>
        <v>0</v>
      </c>
      <c r="BE11" s="630">
        <f t="shared" si="4"/>
        <v>0</v>
      </c>
      <c r="BF11" s="631">
        <f t="shared" si="4"/>
        <v>0</v>
      </c>
      <c r="BG11" s="632">
        <f t="shared" si="4"/>
        <v>0</v>
      </c>
      <c r="BH11" s="630">
        <f t="shared" si="4"/>
        <v>0</v>
      </c>
      <c r="BI11" s="631">
        <f t="shared" si="4"/>
        <v>0</v>
      </c>
      <c r="BJ11" s="632">
        <f t="shared" si="4"/>
        <v>0</v>
      </c>
      <c r="BK11" s="630">
        <f t="shared" si="4"/>
        <v>0</v>
      </c>
      <c r="BL11" s="631">
        <f t="shared" si="4"/>
        <v>0</v>
      </c>
      <c r="BM11" s="632">
        <f t="shared" si="4"/>
        <v>0</v>
      </c>
      <c r="BN11" s="630">
        <f t="shared" si="4"/>
        <v>0</v>
      </c>
      <c r="BO11" s="631">
        <f t="shared" si="4"/>
        <v>0</v>
      </c>
      <c r="BP11" s="632">
        <f t="shared" si="4"/>
        <v>0</v>
      </c>
      <c r="BQ11" s="630">
        <f t="shared" si="4"/>
        <v>0</v>
      </c>
      <c r="BR11" s="631">
        <f t="shared" si="4"/>
        <v>0</v>
      </c>
      <c r="BS11" s="632">
        <f t="shared" si="4"/>
        <v>0</v>
      </c>
      <c r="BT11" s="630">
        <f t="shared" si="4"/>
        <v>0</v>
      </c>
      <c r="BU11" s="631">
        <f t="shared" si="4"/>
        <v>0</v>
      </c>
      <c r="BV11" s="632">
        <f t="shared" si="4"/>
        <v>0</v>
      </c>
      <c r="BW11" s="630">
        <f t="shared" si="4"/>
        <v>0</v>
      </c>
      <c r="BX11" s="631">
        <f t="shared" si="4"/>
        <v>0</v>
      </c>
      <c r="BY11" s="632">
        <f t="shared" si="4"/>
        <v>0</v>
      </c>
      <c r="BZ11" s="435"/>
    </row>
    <row r="12" spans="1:78" ht="13.5">
      <c r="A12" s="633"/>
      <c r="B12" s="634" t="s">
        <v>303</v>
      </c>
      <c r="C12" s="1497">
        <f>SUM(C11,D11)</f>
        <v>0</v>
      </c>
      <c r="D12" s="1498"/>
      <c r="E12" s="1497">
        <f>SUM(E11,F11)</f>
        <v>0</v>
      </c>
      <c r="F12" s="1498"/>
      <c r="G12" s="1497">
        <f>SUM(G11,H11)</f>
        <v>0</v>
      </c>
      <c r="H12" s="1498"/>
      <c r="I12" s="1497">
        <f>SUM(I11,J11)</f>
        <v>0</v>
      </c>
      <c r="J12" s="1498"/>
      <c r="K12" s="1499">
        <f>SUM(K11,L11)</f>
        <v>0</v>
      </c>
      <c r="L12" s="1500"/>
      <c r="M12" s="1497">
        <f>SUM(M11,N11)</f>
        <v>0</v>
      </c>
      <c r="N12" s="1498"/>
      <c r="O12" s="1499">
        <f>SUM(O11,P11)</f>
        <v>0</v>
      </c>
      <c r="P12" s="1500"/>
      <c r="Q12" s="1497">
        <f>SUM(Q11,R11)</f>
        <v>0</v>
      </c>
      <c r="R12" s="1498"/>
      <c r="S12" s="1499">
        <f>SUM(S11,T11)</f>
        <v>0</v>
      </c>
      <c r="T12" s="1500"/>
      <c r="U12" s="1497">
        <f>SUM(U11,V11)</f>
        <v>0</v>
      </c>
      <c r="V12" s="1498"/>
      <c r="W12" s="1499">
        <f>SUM(W11,X11)</f>
        <v>0</v>
      </c>
      <c r="X12" s="1500"/>
      <c r="Y12" s="1497">
        <f>SUM(Y11,Z11)</f>
        <v>0</v>
      </c>
      <c r="Z12" s="1498"/>
      <c r="AA12" s="1499">
        <f>SUM(AA11,AB11)</f>
        <v>0</v>
      </c>
      <c r="AB12" s="1500"/>
      <c r="AC12" s="1497">
        <f>SUM(AC11,AD11)</f>
        <v>0</v>
      </c>
      <c r="AD12" s="1498"/>
      <c r="AE12" s="1499">
        <f>SUM(AE11,AF11)</f>
        <v>0</v>
      </c>
      <c r="AF12" s="1498"/>
      <c r="AG12" s="1499">
        <f>SUM(AG11,AH11)</f>
        <v>0</v>
      </c>
      <c r="AH12" s="1504"/>
      <c r="AI12" s="435"/>
      <c r="AJ12" s="435"/>
      <c r="AK12" s="635"/>
      <c r="AL12" s="635"/>
      <c r="AM12" s="1505"/>
      <c r="AN12" s="1506"/>
      <c r="AO12" s="1507"/>
      <c r="AP12" s="1505"/>
      <c r="AQ12" s="1506"/>
      <c r="AR12" s="1507"/>
      <c r="AS12" s="1505"/>
      <c r="AT12" s="1506"/>
      <c r="AU12" s="1507"/>
      <c r="AV12" s="1505"/>
      <c r="AW12" s="1506"/>
      <c r="AX12" s="1507"/>
      <c r="AY12" s="1505"/>
      <c r="AZ12" s="1506"/>
      <c r="BA12" s="1507"/>
      <c r="BB12" s="1505"/>
      <c r="BC12" s="1506"/>
      <c r="BD12" s="1507"/>
      <c r="BE12" s="1505"/>
      <c r="BF12" s="1506"/>
      <c r="BG12" s="1507"/>
      <c r="BH12" s="1505"/>
      <c r="BI12" s="1506"/>
      <c r="BJ12" s="1507"/>
      <c r="BK12" s="1505"/>
      <c r="BL12" s="1506"/>
      <c r="BM12" s="1507"/>
      <c r="BN12" s="1505"/>
      <c r="BO12" s="1506"/>
      <c r="BP12" s="1507"/>
      <c r="BQ12" s="1505"/>
      <c r="BR12" s="1506"/>
      <c r="BS12" s="1507"/>
      <c r="BT12" s="1505"/>
      <c r="BU12" s="1506"/>
      <c r="BV12" s="1507"/>
      <c r="BW12" s="1505"/>
      <c r="BX12" s="1506"/>
      <c r="BY12" s="1507"/>
      <c r="BZ12" s="435"/>
    </row>
    <row r="13" spans="1:78">
      <c r="A13" s="633" t="s">
        <v>304</v>
      </c>
      <c r="B13" s="636" t="s">
        <v>305</v>
      </c>
      <c r="C13" s="637" t="s">
        <v>298</v>
      </c>
      <c r="D13" s="638" t="s">
        <v>299</v>
      </c>
      <c r="E13" s="637" t="s">
        <v>298</v>
      </c>
      <c r="F13" s="638" t="s">
        <v>299</v>
      </c>
      <c r="G13" s="637" t="s">
        <v>298</v>
      </c>
      <c r="H13" s="638" t="s">
        <v>299</v>
      </c>
      <c r="I13" s="637" t="s">
        <v>298</v>
      </c>
      <c r="J13" s="638" t="s">
        <v>299</v>
      </c>
      <c r="K13" s="639" t="s">
        <v>298</v>
      </c>
      <c r="L13" s="636" t="s">
        <v>299</v>
      </c>
      <c r="M13" s="637" t="s">
        <v>298</v>
      </c>
      <c r="N13" s="638" t="s">
        <v>299</v>
      </c>
      <c r="O13" s="639" t="s">
        <v>298</v>
      </c>
      <c r="P13" s="636" t="s">
        <v>299</v>
      </c>
      <c r="Q13" s="637" t="s">
        <v>298</v>
      </c>
      <c r="R13" s="638" t="s">
        <v>299</v>
      </c>
      <c r="S13" s="639" t="s">
        <v>298</v>
      </c>
      <c r="T13" s="636" t="s">
        <v>299</v>
      </c>
      <c r="U13" s="637" t="s">
        <v>298</v>
      </c>
      <c r="V13" s="638" t="s">
        <v>299</v>
      </c>
      <c r="W13" s="639" t="s">
        <v>298</v>
      </c>
      <c r="X13" s="636" t="s">
        <v>299</v>
      </c>
      <c r="Y13" s="637" t="s">
        <v>298</v>
      </c>
      <c r="Z13" s="638" t="s">
        <v>299</v>
      </c>
      <c r="AA13" s="639" t="s">
        <v>298</v>
      </c>
      <c r="AB13" s="636" t="s">
        <v>299</v>
      </c>
      <c r="AC13" s="637" t="s">
        <v>298</v>
      </c>
      <c r="AD13" s="638" t="s">
        <v>299</v>
      </c>
      <c r="AE13" s="639" t="s">
        <v>298</v>
      </c>
      <c r="AF13" s="638" t="s">
        <v>299</v>
      </c>
      <c r="AG13" s="639" t="s">
        <v>298</v>
      </c>
      <c r="AH13" s="640" t="s">
        <v>299</v>
      </c>
      <c r="AI13" s="435"/>
      <c r="AJ13" s="435"/>
      <c r="AK13" s="635" t="s">
        <v>304</v>
      </c>
      <c r="AL13" s="628" t="s">
        <v>305</v>
      </c>
      <c r="AM13" s="604" t="s">
        <v>298</v>
      </c>
      <c r="AN13" s="605" t="s">
        <v>299</v>
      </c>
      <c r="AO13" s="606" t="s">
        <v>300</v>
      </c>
      <c r="AP13" s="604" t="s">
        <v>298</v>
      </c>
      <c r="AQ13" s="605" t="s">
        <v>299</v>
      </c>
      <c r="AR13" s="606" t="s">
        <v>300</v>
      </c>
      <c r="AS13" s="604" t="s">
        <v>298</v>
      </c>
      <c r="AT13" s="605" t="s">
        <v>299</v>
      </c>
      <c r="AU13" s="606" t="s">
        <v>300</v>
      </c>
      <c r="AV13" s="604" t="s">
        <v>298</v>
      </c>
      <c r="AW13" s="605" t="s">
        <v>299</v>
      </c>
      <c r="AX13" s="606" t="s">
        <v>300</v>
      </c>
      <c r="AY13" s="604" t="s">
        <v>298</v>
      </c>
      <c r="AZ13" s="605" t="s">
        <v>299</v>
      </c>
      <c r="BA13" s="606" t="s">
        <v>300</v>
      </c>
      <c r="BB13" s="604" t="s">
        <v>298</v>
      </c>
      <c r="BC13" s="605" t="s">
        <v>299</v>
      </c>
      <c r="BD13" s="606" t="s">
        <v>300</v>
      </c>
      <c r="BE13" s="604" t="s">
        <v>298</v>
      </c>
      <c r="BF13" s="605" t="s">
        <v>299</v>
      </c>
      <c r="BG13" s="606" t="s">
        <v>300</v>
      </c>
      <c r="BH13" s="604" t="s">
        <v>298</v>
      </c>
      <c r="BI13" s="605" t="s">
        <v>299</v>
      </c>
      <c r="BJ13" s="606" t="s">
        <v>300</v>
      </c>
      <c r="BK13" s="604" t="s">
        <v>298</v>
      </c>
      <c r="BL13" s="605" t="s">
        <v>299</v>
      </c>
      <c r="BM13" s="606" t="s">
        <v>300</v>
      </c>
      <c r="BN13" s="604" t="s">
        <v>298</v>
      </c>
      <c r="BO13" s="605" t="s">
        <v>299</v>
      </c>
      <c r="BP13" s="606" t="s">
        <v>300</v>
      </c>
      <c r="BQ13" s="604" t="s">
        <v>298</v>
      </c>
      <c r="BR13" s="605" t="s">
        <v>299</v>
      </c>
      <c r="BS13" s="606" t="s">
        <v>300</v>
      </c>
      <c r="BT13" s="604" t="s">
        <v>298</v>
      </c>
      <c r="BU13" s="605" t="s">
        <v>299</v>
      </c>
      <c r="BV13" s="606" t="s">
        <v>300</v>
      </c>
      <c r="BW13" s="604" t="s">
        <v>298</v>
      </c>
      <c r="BX13" s="605" t="s">
        <v>299</v>
      </c>
      <c r="BY13" s="606" t="s">
        <v>300</v>
      </c>
      <c r="BZ13" s="435"/>
    </row>
    <row r="14" spans="1:78">
      <c r="A14" s="641" t="str">
        <f>'HSZ do groszy'!A14</f>
        <v>WFOŚiGW 19/2004/76/OA/no/P</v>
      </c>
      <c r="B14" s="642">
        <f>ROUNDUP('HSZ do groszy'!B14,0)</f>
        <v>518029</v>
      </c>
      <c r="C14" s="643">
        <f>ROUNDUP('HSZ do groszy'!C14,0)</f>
        <v>57559</v>
      </c>
      <c r="D14" s="644">
        <f>ROUNDUP('HSZ do groszy'!D14,0)</f>
        <v>2863</v>
      </c>
      <c r="E14" s="643">
        <f t="shared" ref="E14:E24" si="5">G14+I14+K14+M14+O14+Q14+S14+U14+W14+Y14+AA14+AC14+AE14+AG14</f>
        <v>115116</v>
      </c>
      <c r="F14" s="644">
        <f t="shared" ref="F14:F24" si="6">H14+J14+L14+N14+P14+R14+T14+V14+X14+Z14+AB14+AD14+AF14+AH14</f>
        <v>1734</v>
      </c>
      <c r="G14" s="643">
        <f>ROUNDUP('HSZ do groszy'!G14,0)</f>
        <v>57559</v>
      </c>
      <c r="H14" s="644">
        <f>ROUNDUP('HSZ do groszy'!H14,0)</f>
        <v>1267</v>
      </c>
      <c r="I14" s="643">
        <f>ROUNDUP('HSZ do groszy'!I14,0)</f>
        <v>57557</v>
      </c>
      <c r="J14" s="644">
        <f>ROUNDUP('HSZ do groszy'!J14,0)</f>
        <v>467</v>
      </c>
      <c r="K14" s="645">
        <f>ROUNDUP('HSZ do groszy'!K14,0)</f>
        <v>0</v>
      </c>
      <c r="L14" s="646">
        <f>ROUNDUP('HSZ do groszy'!L14,0)</f>
        <v>0</v>
      </c>
      <c r="M14" s="643">
        <f>ROUNDUP('HSZ do groszy'!M14,0)</f>
        <v>0</v>
      </c>
      <c r="N14" s="644">
        <f>ROUNDUP('HSZ do groszy'!N14,0)</f>
        <v>0</v>
      </c>
      <c r="O14" s="645">
        <f>ROUNDUP('HSZ do groszy'!O14,0)</f>
        <v>0</v>
      </c>
      <c r="P14" s="646">
        <f>ROUNDUP('HSZ do groszy'!P14,0)</f>
        <v>0</v>
      </c>
      <c r="Q14" s="643">
        <f>ROUNDUP('HSZ do groszy'!Q14,0)</f>
        <v>0</v>
      </c>
      <c r="R14" s="644">
        <f>ROUNDUP('HSZ do groszy'!R14,0)</f>
        <v>0</v>
      </c>
      <c r="S14" s="645">
        <f>ROUNDUP('HSZ do groszy'!S14,0)</f>
        <v>0</v>
      </c>
      <c r="T14" s="646">
        <f>ROUNDUP('HSZ do groszy'!T14,0)</f>
        <v>0</v>
      </c>
      <c r="U14" s="643">
        <f>ROUNDUP('HSZ do groszy'!U14,0)</f>
        <v>0</v>
      </c>
      <c r="V14" s="644">
        <f>ROUNDUP('HSZ do groszy'!V14,0)</f>
        <v>0</v>
      </c>
      <c r="W14" s="645">
        <f>ROUNDUP('HSZ do groszy'!W14,0)</f>
        <v>0</v>
      </c>
      <c r="X14" s="646">
        <f>ROUNDUP('HSZ do groszy'!X14,0)</f>
        <v>0</v>
      </c>
      <c r="Y14" s="643">
        <f>ROUNDUP('HSZ do groszy'!Y14,0)</f>
        <v>0</v>
      </c>
      <c r="Z14" s="644">
        <f>ROUNDUP('HSZ do groszy'!Z14,0)</f>
        <v>0</v>
      </c>
      <c r="AA14" s="645">
        <f>ROUNDUP('HSZ do groszy'!AA14,0)</f>
        <v>0</v>
      </c>
      <c r="AB14" s="646">
        <f>ROUNDUP('HSZ do groszy'!AB14,0)</f>
        <v>0</v>
      </c>
      <c r="AC14" s="643">
        <f>ROUNDUP('HSZ do groszy'!AC14,0)</f>
        <v>0</v>
      </c>
      <c r="AD14" s="644">
        <f>ROUNDUP('HSZ do groszy'!AD14,0)</f>
        <v>0</v>
      </c>
      <c r="AE14" s="645">
        <f>ROUNDUP('HSZ do groszy'!AE14,0)</f>
        <v>0</v>
      </c>
      <c r="AF14" s="644">
        <f>ROUNDUP('HSZ do groszy'!AF14,0)</f>
        <v>0</v>
      </c>
      <c r="AG14" s="645">
        <f>ROUNDUP('HSZ do groszy'!AG14,0)</f>
        <v>0</v>
      </c>
      <c r="AH14" s="647">
        <f>ROUNDUP('HSZ do groszy'!AH14,0)</f>
        <v>0</v>
      </c>
      <c r="AI14" s="435"/>
      <c r="AJ14" s="435"/>
      <c r="AK14" s="648" t="str">
        <f t="shared" ref="AK14:AL29" si="7">A14</f>
        <v>WFOŚiGW 19/2004/76/OA/no/P</v>
      </c>
      <c r="AL14" s="649">
        <f t="shared" si="7"/>
        <v>518029</v>
      </c>
      <c r="AM14" s="650">
        <f t="shared" ref="AM14:AM26" si="8">SUM($I14,$K14,$M14,$O14,$Q14,$S14,$U14,$W14,$Y14,$AA14,$AC14,$AE14,$AG14)</f>
        <v>57557</v>
      </c>
      <c r="AN14" s="651">
        <f t="shared" ref="AN14:AN26" si="9">SUM($J14,$L14,$N14,$P14,$R14,$T14,$V14,$X14,$Z14,$AB14,$AD14,$AF14,$AH14)</f>
        <v>467</v>
      </c>
      <c r="AO14" s="652">
        <f t="shared" ref="AO14:AO26" si="10">SUM(AM14,AN14)</f>
        <v>58024</v>
      </c>
      <c r="AP14" s="650">
        <f t="shared" ref="AP14:AP26" si="11">SUM($K14,$M14,$O14,$Q14,$S14,$U14,$W14,$Y14,$AA14,$AC14,$AE14,$AG14)</f>
        <v>0</v>
      </c>
      <c r="AQ14" s="651">
        <f t="shared" ref="AQ14:AQ26" si="12">SUM($L14,$N14,$P14,$R14,$T14,$V14,$X14,$Z14,$AB14,$AD14,$AF14,$AH14)</f>
        <v>0</v>
      </c>
      <c r="AR14" s="652">
        <f t="shared" ref="AR14:AR26" si="13">SUM(AP14,AQ14)</f>
        <v>0</v>
      </c>
      <c r="AS14" s="650">
        <f t="shared" ref="AS14:AS26" si="14">SUM($M14,$O14,$Q14,$S14,$U14,$W14,$Y14,$AA14,$AC14,$AE14,$AG14)</f>
        <v>0</v>
      </c>
      <c r="AT14" s="651">
        <f t="shared" ref="AT14:AT26" si="15">SUM($N14,$P14,$R14,$T14,$V14,$X14,$Z14,$AB14,$AD14,$AF14,$AH14)</f>
        <v>0</v>
      </c>
      <c r="AU14" s="652">
        <f t="shared" ref="AU14:AU26" si="16">SUM(AS14,AT14)</f>
        <v>0</v>
      </c>
      <c r="AV14" s="650">
        <f t="shared" ref="AV14:AV29" si="17">SUM($O14,$Q14,$S14,$U14,$W14,$Y14,$AA14,$AC14,$AE14,$AG14)</f>
        <v>0</v>
      </c>
      <c r="AW14" s="651">
        <f t="shared" ref="AW14:AW29" si="18">SUM($P14,$R14,$T14,$V14,$X14,$Z14,$AB14,$AD14,$AF14,$AH14)</f>
        <v>0</v>
      </c>
      <c r="AX14" s="652">
        <f t="shared" ref="AX14:AX26" si="19">SUM(AV14,AW14)</f>
        <v>0</v>
      </c>
      <c r="AY14" s="650">
        <f t="shared" ref="AY14:AY29" si="20">SUM($Q14,$S14,$U14,$W14,$Y14,$AA14,$AC14,$AE14,$AG14)</f>
        <v>0</v>
      </c>
      <c r="AZ14" s="651">
        <f t="shared" ref="AZ14:AZ29" si="21">SUM($R14,$T14,$V14,$X14,$Z14,$AB14,$AD14,$AF14,$AH14)</f>
        <v>0</v>
      </c>
      <c r="BA14" s="652">
        <f t="shared" ref="BA14:BA26" si="22">SUM(AY14,AZ14)</f>
        <v>0</v>
      </c>
      <c r="BB14" s="650">
        <f t="shared" ref="BB14:BB29" si="23">SUM($S14,$U14,$W14,$Y14,$AA14,$AC14,$AE14,$AG14)</f>
        <v>0</v>
      </c>
      <c r="BC14" s="651">
        <f t="shared" ref="BC14:BC29" si="24">SUM($T14,$V14,$X14,$Z14,$AB14,$AD14,$AF14,$AH14)</f>
        <v>0</v>
      </c>
      <c r="BD14" s="652">
        <f t="shared" ref="BD14:BD29" si="25">SUM(BB14,BC14)</f>
        <v>0</v>
      </c>
      <c r="BE14" s="650">
        <f t="shared" ref="BE14:BE29" si="26">SUM($U14,$W14,$Y14,$AA14,$AC14,$AE14,$AG14)</f>
        <v>0</v>
      </c>
      <c r="BF14" s="651">
        <f t="shared" ref="BF14:BF29" si="27">SUM($V14,$X14,$Z14,$AB14,$AD14,$AF14,$AH14)</f>
        <v>0</v>
      </c>
      <c r="BG14" s="652">
        <f t="shared" ref="BG14:BG29" si="28">SUM(BE14,BF14)</f>
        <v>0</v>
      </c>
      <c r="BH14" s="650">
        <f t="shared" ref="BH14:BH29" si="29">SUM($W14,$Y14,$AA14,$AC14,$AE14,$AG14)</f>
        <v>0</v>
      </c>
      <c r="BI14" s="651">
        <f t="shared" ref="BI14:BI29" si="30">SUM($X14,$Z14,$AB14,$AD14,$AF14,$AH14)</f>
        <v>0</v>
      </c>
      <c r="BJ14" s="652">
        <f t="shared" ref="BJ14:BJ29" si="31">SUM(BH14,BI14)</f>
        <v>0</v>
      </c>
      <c r="BK14" s="650">
        <f t="shared" ref="BK14:BK29" si="32">SUM($Y14,$AA14,$AC14,$AE14,$AG14)</f>
        <v>0</v>
      </c>
      <c r="BL14" s="651">
        <f t="shared" ref="BL14:BL29" si="33">SUM($Z14,$AB14,$AD14,$AF14,$AH14)</f>
        <v>0</v>
      </c>
      <c r="BM14" s="652">
        <f t="shared" ref="BM14:BM29" si="34">SUM(BK14,BL14)</f>
        <v>0</v>
      </c>
      <c r="BN14" s="650">
        <f t="shared" ref="BN14:BN29" si="35">SUM($AA14,$AC14,$AE14,$AG14)</f>
        <v>0</v>
      </c>
      <c r="BO14" s="651">
        <f t="shared" ref="BO14:BO29" si="36">SUM($AB14,$AD14,$AF14,$AH14)</f>
        <v>0</v>
      </c>
      <c r="BP14" s="652">
        <f t="shared" ref="BP14:BP29" si="37">SUM(BN14,BO14)</f>
        <v>0</v>
      </c>
      <c r="BQ14" s="650">
        <f t="shared" ref="BQ14:BQ29" si="38">SUM($AC14,$AE14,$AG14)</f>
        <v>0</v>
      </c>
      <c r="BR14" s="651">
        <f t="shared" ref="BR14:BR29" si="39">SUM($AD14,$AF14,$AH14)</f>
        <v>0</v>
      </c>
      <c r="BS14" s="652">
        <f t="shared" ref="BS14:BS29" si="40">SUM(BQ14,BR14)</f>
        <v>0</v>
      </c>
      <c r="BT14" s="650">
        <f t="shared" ref="BT14:BT29" si="41">SUM($AE14,$AG14)</f>
        <v>0</v>
      </c>
      <c r="BU14" s="651">
        <f t="shared" ref="BU14:BU29" si="42">SUM($AF14,$AH14)</f>
        <v>0</v>
      </c>
      <c r="BV14" s="652">
        <f t="shared" ref="BV14:BV29" si="43">SUM(BT14,BU14)</f>
        <v>0</v>
      </c>
      <c r="BW14" s="650">
        <f t="shared" ref="BW14:BW29" si="44">SUM($AG14)</f>
        <v>0</v>
      </c>
      <c r="BX14" s="651">
        <f t="shared" ref="BX14:BX29" si="45">SUM($AH14)</f>
        <v>0</v>
      </c>
      <c r="BY14" s="652">
        <f t="shared" ref="BY14:BY29" si="46">SUM(BW14,BX14)</f>
        <v>0</v>
      </c>
      <c r="BZ14" s="435"/>
    </row>
    <row r="15" spans="1:78">
      <c r="A15" s="641" t="str">
        <f>'HSZ do groszy'!A15</f>
        <v>WFOŚiGW 37/2005/76/OA/po/P</v>
      </c>
      <c r="B15" s="642">
        <f>ROUNDUP('HSZ do groszy'!B15,0)</f>
        <v>1498996</v>
      </c>
      <c r="C15" s="643">
        <f>ROUNDUP('HSZ do groszy'!C15,0)</f>
        <v>171911</v>
      </c>
      <c r="D15" s="644">
        <f>ROUNDUP('HSZ do groszy'!D15,0)</f>
        <v>33339</v>
      </c>
      <c r="E15" s="643">
        <f t="shared" si="5"/>
        <v>799416</v>
      </c>
      <c r="F15" s="644">
        <f t="shared" si="6"/>
        <v>50293</v>
      </c>
      <c r="G15" s="643">
        <f>ROUNDUP('HSZ do groszy'!G15,0)</f>
        <v>199880</v>
      </c>
      <c r="H15" s="644">
        <f>ROUNDUP('HSZ do groszy'!H15,0)</f>
        <v>21568</v>
      </c>
      <c r="I15" s="643">
        <f>ROUNDUP('HSZ do groszy'!I15,0)</f>
        <v>199880</v>
      </c>
      <c r="J15" s="644">
        <f>ROUNDUP('HSZ do groszy'!J15,0)</f>
        <v>15571</v>
      </c>
      <c r="K15" s="645">
        <f>ROUNDUP('HSZ do groszy'!K15,0)</f>
        <v>199880</v>
      </c>
      <c r="L15" s="646">
        <f>ROUNDUP('HSZ do groszy'!L15,0)</f>
        <v>9575</v>
      </c>
      <c r="M15" s="643">
        <f>ROUNDUP('HSZ do groszy'!M15,0)</f>
        <v>199776</v>
      </c>
      <c r="N15" s="644">
        <f>ROUNDUP('HSZ do groszy'!N15,0)</f>
        <v>3579</v>
      </c>
      <c r="O15" s="645">
        <f>ROUNDUP('HSZ do groszy'!O15,0)</f>
        <v>0</v>
      </c>
      <c r="P15" s="646">
        <f>ROUNDUP('HSZ do groszy'!P15,0)</f>
        <v>0</v>
      </c>
      <c r="Q15" s="643">
        <f>ROUNDUP('HSZ do groszy'!Q15,0)</f>
        <v>0</v>
      </c>
      <c r="R15" s="644">
        <f>ROUNDUP('HSZ do groszy'!R15,0)</f>
        <v>0</v>
      </c>
      <c r="S15" s="645">
        <f>ROUNDUP('HSZ do groszy'!S15,0)</f>
        <v>0</v>
      </c>
      <c r="T15" s="646">
        <f>ROUNDUP('HSZ do groszy'!T15,0)</f>
        <v>0</v>
      </c>
      <c r="U15" s="643">
        <f>ROUNDUP('HSZ do groszy'!U15,0)</f>
        <v>0</v>
      </c>
      <c r="V15" s="644">
        <f>ROUNDUP('HSZ do groszy'!V15,0)</f>
        <v>0</v>
      </c>
      <c r="W15" s="645">
        <f>ROUNDUP('HSZ do groszy'!W15,0)</f>
        <v>0</v>
      </c>
      <c r="X15" s="646">
        <f>ROUNDUP('HSZ do groszy'!X15,0)</f>
        <v>0</v>
      </c>
      <c r="Y15" s="643">
        <f>ROUNDUP('HSZ do groszy'!Y15,0)</f>
        <v>0</v>
      </c>
      <c r="Z15" s="644">
        <f>ROUNDUP('HSZ do groszy'!Z15,0)</f>
        <v>0</v>
      </c>
      <c r="AA15" s="645">
        <f>ROUNDUP('HSZ do groszy'!AA15,0)</f>
        <v>0</v>
      </c>
      <c r="AB15" s="646">
        <f>ROUNDUP('HSZ do groszy'!AB15,0)</f>
        <v>0</v>
      </c>
      <c r="AC15" s="643">
        <f>ROUNDUP('HSZ do groszy'!AC15,0)</f>
        <v>0</v>
      </c>
      <c r="AD15" s="644">
        <f>ROUNDUP('HSZ do groszy'!AD15,0)</f>
        <v>0</v>
      </c>
      <c r="AE15" s="645">
        <f>ROUNDUP('HSZ do groszy'!AE15,0)</f>
        <v>0</v>
      </c>
      <c r="AF15" s="644">
        <f>ROUNDUP('HSZ do groszy'!AF15,0)</f>
        <v>0</v>
      </c>
      <c r="AG15" s="645">
        <f>ROUNDUP('HSZ do groszy'!AG15,0)</f>
        <v>0</v>
      </c>
      <c r="AH15" s="647">
        <f>ROUNDUP('HSZ do groszy'!AH15,0)</f>
        <v>0</v>
      </c>
      <c r="AI15" s="435"/>
      <c r="AJ15" s="435"/>
      <c r="AK15" s="648" t="str">
        <f t="shared" si="7"/>
        <v>WFOŚiGW 37/2005/76/OA/po/P</v>
      </c>
      <c r="AL15" s="649">
        <f t="shared" si="7"/>
        <v>1498996</v>
      </c>
      <c r="AM15" s="650">
        <f t="shared" si="8"/>
        <v>599536</v>
      </c>
      <c r="AN15" s="651">
        <f t="shared" si="9"/>
        <v>28725</v>
      </c>
      <c r="AO15" s="652">
        <f t="shared" si="10"/>
        <v>628261</v>
      </c>
      <c r="AP15" s="650">
        <f t="shared" si="11"/>
        <v>399656</v>
      </c>
      <c r="AQ15" s="651">
        <f t="shared" si="12"/>
        <v>13154</v>
      </c>
      <c r="AR15" s="652">
        <f t="shared" si="13"/>
        <v>412810</v>
      </c>
      <c r="AS15" s="650">
        <f t="shared" si="14"/>
        <v>199776</v>
      </c>
      <c r="AT15" s="651">
        <f t="shared" si="15"/>
        <v>3579</v>
      </c>
      <c r="AU15" s="652">
        <f t="shared" si="16"/>
        <v>203355</v>
      </c>
      <c r="AV15" s="650">
        <f t="shared" si="17"/>
        <v>0</v>
      </c>
      <c r="AW15" s="651">
        <f t="shared" si="18"/>
        <v>0</v>
      </c>
      <c r="AX15" s="652">
        <f t="shared" si="19"/>
        <v>0</v>
      </c>
      <c r="AY15" s="650">
        <f t="shared" si="20"/>
        <v>0</v>
      </c>
      <c r="AZ15" s="651">
        <f t="shared" si="21"/>
        <v>0</v>
      </c>
      <c r="BA15" s="652">
        <f t="shared" si="22"/>
        <v>0</v>
      </c>
      <c r="BB15" s="650">
        <f t="shared" si="23"/>
        <v>0</v>
      </c>
      <c r="BC15" s="651">
        <f t="shared" si="24"/>
        <v>0</v>
      </c>
      <c r="BD15" s="652">
        <f t="shared" si="25"/>
        <v>0</v>
      </c>
      <c r="BE15" s="650">
        <f t="shared" si="26"/>
        <v>0</v>
      </c>
      <c r="BF15" s="651">
        <f t="shared" si="27"/>
        <v>0</v>
      </c>
      <c r="BG15" s="652">
        <f t="shared" si="28"/>
        <v>0</v>
      </c>
      <c r="BH15" s="650">
        <f t="shared" si="29"/>
        <v>0</v>
      </c>
      <c r="BI15" s="651">
        <f t="shared" si="30"/>
        <v>0</v>
      </c>
      <c r="BJ15" s="652">
        <f t="shared" si="31"/>
        <v>0</v>
      </c>
      <c r="BK15" s="650">
        <f t="shared" si="32"/>
        <v>0</v>
      </c>
      <c r="BL15" s="651">
        <f t="shared" si="33"/>
        <v>0</v>
      </c>
      <c r="BM15" s="652">
        <f t="shared" si="34"/>
        <v>0</v>
      </c>
      <c r="BN15" s="650">
        <f t="shared" si="35"/>
        <v>0</v>
      </c>
      <c r="BO15" s="651">
        <f t="shared" si="36"/>
        <v>0</v>
      </c>
      <c r="BP15" s="652">
        <f t="shared" si="37"/>
        <v>0</v>
      </c>
      <c r="BQ15" s="650">
        <f t="shared" si="38"/>
        <v>0</v>
      </c>
      <c r="BR15" s="651">
        <f t="shared" si="39"/>
        <v>0</v>
      </c>
      <c r="BS15" s="652">
        <f t="shared" si="40"/>
        <v>0</v>
      </c>
      <c r="BT15" s="650">
        <f t="shared" si="41"/>
        <v>0</v>
      </c>
      <c r="BU15" s="651">
        <f t="shared" si="42"/>
        <v>0</v>
      </c>
      <c r="BV15" s="652">
        <f t="shared" si="43"/>
        <v>0</v>
      </c>
      <c r="BW15" s="650">
        <f t="shared" si="44"/>
        <v>0</v>
      </c>
      <c r="BX15" s="651">
        <f t="shared" si="45"/>
        <v>0</v>
      </c>
      <c r="BY15" s="652">
        <f t="shared" si="46"/>
        <v>0</v>
      </c>
      <c r="BZ15" s="435"/>
    </row>
    <row r="16" spans="1:78">
      <c r="A16" s="641" t="str">
        <f>'HSZ do groszy'!A16</f>
        <v>WFOŚiGW 52/2008/76/OZ/po/P</v>
      </c>
      <c r="B16" s="642">
        <f>ROUNDUP('HSZ do groszy'!B16,0)</f>
        <v>138349</v>
      </c>
      <c r="C16" s="643">
        <f>ROUNDUP('HSZ do groszy'!C16,0)</f>
        <v>15372</v>
      </c>
      <c r="D16" s="644">
        <f>ROUNDUP('HSZ do groszy'!D16,0)</f>
        <v>3861</v>
      </c>
      <c r="E16" s="643">
        <f t="shared" si="5"/>
        <v>103761</v>
      </c>
      <c r="F16" s="644">
        <f t="shared" si="6"/>
        <v>10898</v>
      </c>
      <c r="G16" s="643">
        <f>ROUNDUP('HSZ do groszy'!G16,0)</f>
        <v>15372</v>
      </c>
      <c r="H16" s="644">
        <f>ROUNDUP('HSZ do groszy'!H16,0)</f>
        <v>2940</v>
      </c>
      <c r="I16" s="643">
        <f>ROUNDUP('HSZ do groszy'!I16,0)</f>
        <v>15372</v>
      </c>
      <c r="J16" s="644">
        <f>ROUNDUP('HSZ do groszy'!J16,0)</f>
        <v>2479</v>
      </c>
      <c r="K16" s="645">
        <f>ROUNDUP('HSZ do groszy'!K16,0)</f>
        <v>15372</v>
      </c>
      <c r="L16" s="646">
        <f>ROUNDUP('HSZ do groszy'!L16,0)</f>
        <v>2018</v>
      </c>
      <c r="M16" s="643">
        <f>ROUNDUP('HSZ do groszy'!M16,0)</f>
        <v>15372</v>
      </c>
      <c r="N16" s="644">
        <f>ROUNDUP('HSZ do groszy'!N16,0)</f>
        <v>1557</v>
      </c>
      <c r="O16" s="645">
        <f>ROUNDUP('HSZ do groszy'!O16,0)</f>
        <v>15372</v>
      </c>
      <c r="P16" s="646">
        <f>ROUNDUP('HSZ do groszy'!P16,0)</f>
        <v>1096</v>
      </c>
      <c r="Q16" s="643">
        <f>ROUNDUP('HSZ do groszy'!Q16,0)</f>
        <v>15372</v>
      </c>
      <c r="R16" s="644">
        <f>ROUNDUP('HSZ do groszy'!R16,0)</f>
        <v>635</v>
      </c>
      <c r="S16" s="645">
        <f>ROUNDUP('HSZ do groszy'!S16,0)</f>
        <v>11529</v>
      </c>
      <c r="T16" s="646">
        <f>ROUNDUP('HSZ do groszy'!T16,0)</f>
        <v>173</v>
      </c>
      <c r="U16" s="643">
        <f>ROUNDUP('HSZ do groszy'!U16,0)</f>
        <v>0</v>
      </c>
      <c r="V16" s="644">
        <f>ROUNDUP('HSZ do groszy'!V16,0)</f>
        <v>0</v>
      </c>
      <c r="W16" s="645">
        <f>ROUNDUP('HSZ do groszy'!W16,0)</f>
        <v>0</v>
      </c>
      <c r="X16" s="646">
        <f>ROUNDUP('HSZ do groszy'!X16,0)</f>
        <v>0</v>
      </c>
      <c r="Y16" s="643">
        <f>ROUNDUP('HSZ do groszy'!Y16,0)</f>
        <v>0</v>
      </c>
      <c r="Z16" s="644">
        <f>ROUNDUP('HSZ do groszy'!Z16,0)</f>
        <v>0</v>
      </c>
      <c r="AA16" s="645">
        <f>ROUNDUP('HSZ do groszy'!AA16,0)</f>
        <v>0</v>
      </c>
      <c r="AB16" s="646">
        <f>ROUNDUP('HSZ do groszy'!AB16,0)</f>
        <v>0</v>
      </c>
      <c r="AC16" s="643">
        <f>ROUNDUP('HSZ do groszy'!AC16,0)</f>
        <v>0</v>
      </c>
      <c r="AD16" s="644">
        <f>ROUNDUP('HSZ do groszy'!AD16,0)</f>
        <v>0</v>
      </c>
      <c r="AE16" s="645">
        <f>ROUNDUP('HSZ do groszy'!AE16,0)</f>
        <v>0</v>
      </c>
      <c r="AF16" s="644">
        <f>ROUNDUP('HSZ do groszy'!AF16,0)</f>
        <v>0</v>
      </c>
      <c r="AG16" s="645">
        <f>ROUNDUP('HSZ do groszy'!AG16,0)</f>
        <v>0</v>
      </c>
      <c r="AH16" s="647">
        <f>ROUNDUP('HSZ do groszy'!AH16,0)</f>
        <v>0</v>
      </c>
      <c r="AI16" s="435"/>
      <c r="AJ16" s="435"/>
      <c r="AK16" s="648" t="str">
        <f t="shared" si="7"/>
        <v>WFOŚiGW 52/2008/76/OZ/po/P</v>
      </c>
      <c r="AL16" s="649">
        <f t="shared" si="7"/>
        <v>138349</v>
      </c>
      <c r="AM16" s="650">
        <f t="shared" si="8"/>
        <v>88389</v>
      </c>
      <c r="AN16" s="651">
        <f t="shared" si="9"/>
        <v>7958</v>
      </c>
      <c r="AO16" s="652">
        <f t="shared" si="10"/>
        <v>96347</v>
      </c>
      <c r="AP16" s="650">
        <f t="shared" si="11"/>
        <v>73017</v>
      </c>
      <c r="AQ16" s="651">
        <f t="shared" si="12"/>
        <v>5479</v>
      </c>
      <c r="AR16" s="652">
        <f t="shared" si="13"/>
        <v>78496</v>
      </c>
      <c r="AS16" s="650">
        <f t="shared" si="14"/>
        <v>57645</v>
      </c>
      <c r="AT16" s="651">
        <f t="shared" si="15"/>
        <v>3461</v>
      </c>
      <c r="AU16" s="652">
        <f t="shared" si="16"/>
        <v>61106</v>
      </c>
      <c r="AV16" s="650">
        <f t="shared" si="17"/>
        <v>42273</v>
      </c>
      <c r="AW16" s="651">
        <f t="shared" si="18"/>
        <v>1904</v>
      </c>
      <c r="AX16" s="652">
        <f t="shared" si="19"/>
        <v>44177</v>
      </c>
      <c r="AY16" s="650">
        <f t="shared" si="20"/>
        <v>26901</v>
      </c>
      <c r="AZ16" s="651">
        <f t="shared" si="21"/>
        <v>808</v>
      </c>
      <c r="BA16" s="652">
        <f t="shared" si="22"/>
        <v>27709</v>
      </c>
      <c r="BB16" s="650">
        <f t="shared" si="23"/>
        <v>11529</v>
      </c>
      <c r="BC16" s="651">
        <f t="shared" si="24"/>
        <v>173</v>
      </c>
      <c r="BD16" s="652">
        <f t="shared" si="25"/>
        <v>11702</v>
      </c>
      <c r="BE16" s="650">
        <f t="shared" si="26"/>
        <v>0</v>
      </c>
      <c r="BF16" s="651">
        <f t="shared" si="27"/>
        <v>0</v>
      </c>
      <c r="BG16" s="652">
        <f t="shared" si="28"/>
        <v>0</v>
      </c>
      <c r="BH16" s="650">
        <f t="shared" si="29"/>
        <v>0</v>
      </c>
      <c r="BI16" s="651">
        <f t="shared" si="30"/>
        <v>0</v>
      </c>
      <c r="BJ16" s="652">
        <f t="shared" si="31"/>
        <v>0</v>
      </c>
      <c r="BK16" s="650">
        <f t="shared" si="32"/>
        <v>0</v>
      </c>
      <c r="BL16" s="651">
        <f t="shared" si="33"/>
        <v>0</v>
      </c>
      <c r="BM16" s="652">
        <f t="shared" si="34"/>
        <v>0</v>
      </c>
      <c r="BN16" s="650">
        <f t="shared" si="35"/>
        <v>0</v>
      </c>
      <c r="BO16" s="651">
        <f t="shared" si="36"/>
        <v>0</v>
      </c>
      <c r="BP16" s="652">
        <f t="shared" si="37"/>
        <v>0</v>
      </c>
      <c r="BQ16" s="650">
        <f t="shared" si="38"/>
        <v>0</v>
      </c>
      <c r="BR16" s="651">
        <f t="shared" si="39"/>
        <v>0</v>
      </c>
      <c r="BS16" s="652">
        <f t="shared" si="40"/>
        <v>0</v>
      </c>
      <c r="BT16" s="650">
        <f t="shared" si="41"/>
        <v>0</v>
      </c>
      <c r="BU16" s="651">
        <f t="shared" si="42"/>
        <v>0</v>
      </c>
      <c r="BV16" s="652">
        <f t="shared" si="43"/>
        <v>0</v>
      </c>
      <c r="BW16" s="650">
        <f t="shared" si="44"/>
        <v>0</v>
      </c>
      <c r="BX16" s="651">
        <f t="shared" si="45"/>
        <v>0</v>
      </c>
      <c r="BY16" s="652">
        <f t="shared" si="46"/>
        <v>0</v>
      </c>
      <c r="BZ16" s="435"/>
    </row>
    <row r="17" spans="1:78">
      <c r="A17" s="641" t="str">
        <f>'HSZ do groszy'!A17</f>
        <v>WFOŚiGW 57/2007/76/OA/oe/P</v>
      </c>
      <c r="B17" s="642">
        <f>ROUNDUP('HSZ do groszy'!B17,0)</f>
        <v>499709</v>
      </c>
      <c r="C17" s="643">
        <f>ROUNDUP('HSZ do groszy'!C17,0)</f>
        <v>47500</v>
      </c>
      <c r="D17" s="644">
        <f>ROUNDUP('HSZ do groszy'!D17,0)</f>
        <v>12237</v>
      </c>
      <c r="E17" s="643">
        <f t="shared" si="5"/>
        <v>332500</v>
      </c>
      <c r="F17" s="644">
        <f t="shared" si="6"/>
        <v>35854</v>
      </c>
      <c r="G17" s="643">
        <f>ROUNDUP('HSZ do groszy'!G17,0)</f>
        <v>47500</v>
      </c>
      <c r="H17" s="644">
        <f>ROUNDUP('HSZ do groszy'!H17,0)</f>
        <v>9397</v>
      </c>
      <c r="I17" s="643">
        <f>ROUNDUP('HSZ do groszy'!I17,0)</f>
        <v>47500</v>
      </c>
      <c r="J17" s="644">
        <f>ROUNDUP('HSZ do groszy'!J17,0)</f>
        <v>7972</v>
      </c>
      <c r="K17" s="645">
        <f>ROUNDUP('HSZ do groszy'!K17,0)</f>
        <v>47500</v>
      </c>
      <c r="L17" s="646">
        <f>ROUNDUP('HSZ do groszy'!L17,0)</f>
        <v>6547</v>
      </c>
      <c r="M17" s="643">
        <f>ROUNDUP('HSZ do groszy'!M17,0)</f>
        <v>47500</v>
      </c>
      <c r="N17" s="644">
        <f>ROUNDUP('HSZ do groszy'!N17,0)</f>
        <v>5122</v>
      </c>
      <c r="O17" s="645">
        <f>ROUNDUP('HSZ do groszy'!O17,0)</f>
        <v>47500</v>
      </c>
      <c r="P17" s="646">
        <f>ROUNDUP('HSZ do groszy'!P17,0)</f>
        <v>3697</v>
      </c>
      <c r="Q17" s="643">
        <f>ROUNDUP('HSZ do groszy'!Q17,0)</f>
        <v>47500</v>
      </c>
      <c r="R17" s="644">
        <f>ROUNDUP('HSZ do groszy'!R17,0)</f>
        <v>2272</v>
      </c>
      <c r="S17" s="645">
        <f>ROUNDUP('HSZ do groszy'!S17,0)</f>
        <v>47500</v>
      </c>
      <c r="T17" s="646">
        <f>ROUNDUP('HSZ do groszy'!T17,0)</f>
        <v>847</v>
      </c>
      <c r="U17" s="643">
        <f>ROUNDUP('HSZ do groszy'!U17,0)</f>
        <v>0</v>
      </c>
      <c r="V17" s="644">
        <f>ROUNDUP('HSZ do groszy'!V17,0)</f>
        <v>0</v>
      </c>
      <c r="W17" s="645">
        <f>ROUNDUP('HSZ do groszy'!W17,0)</f>
        <v>0</v>
      </c>
      <c r="X17" s="646">
        <f>ROUNDUP('HSZ do groszy'!X17,0)</f>
        <v>0</v>
      </c>
      <c r="Y17" s="643">
        <f>ROUNDUP('HSZ do groszy'!Y17,0)</f>
        <v>0</v>
      </c>
      <c r="Z17" s="644">
        <f>ROUNDUP('HSZ do groszy'!Z17,0)</f>
        <v>0</v>
      </c>
      <c r="AA17" s="645">
        <f>ROUNDUP('HSZ do groszy'!AA17,0)</f>
        <v>0</v>
      </c>
      <c r="AB17" s="646">
        <f>ROUNDUP('HSZ do groszy'!AB17,0)</f>
        <v>0</v>
      </c>
      <c r="AC17" s="643">
        <f>ROUNDUP('HSZ do groszy'!AC17,0)</f>
        <v>0</v>
      </c>
      <c r="AD17" s="644">
        <f>ROUNDUP('HSZ do groszy'!AD17,0)</f>
        <v>0</v>
      </c>
      <c r="AE17" s="645">
        <f>ROUNDUP('HSZ do groszy'!AE17,0)</f>
        <v>0</v>
      </c>
      <c r="AF17" s="644">
        <f>ROUNDUP('HSZ do groszy'!AF17,0)</f>
        <v>0</v>
      </c>
      <c r="AG17" s="645">
        <f>ROUNDUP('HSZ do groszy'!AG17,0)</f>
        <v>0</v>
      </c>
      <c r="AH17" s="647">
        <f>ROUNDUP('HSZ do groszy'!AH17,0)</f>
        <v>0</v>
      </c>
      <c r="AI17" s="435"/>
      <c r="AJ17" s="435"/>
      <c r="AK17" s="648" t="str">
        <f t="shared" si="7"/>
        <v>WFOŚiGW 57/2007/76/OA/oe/P</v>
      </c>
      <c r="AL17" s="649">
        <f t="shared" si="7"/>
        <v>499709</v>
      </c>
      <c r="AM17" s="650">
        <f t="shared" si="8"/>
        <v>285000</v>
      </c>
      <c r="AN17" s="651">
        <f t="shared" si="9"/>
        <v>26457</v>
      </c>
      <c r="AO17" s="652">
        <f t="shared" si="10"/>
        <v>311457</v>
      </c>
      <c r="AP17" s="650">
        <f t="shared" si="11"/>
        <v>237500</v>
      </c>
      <c r="AQ17" s="651">
        <f t="shared" si="12"/>
        <v>18485</v>
      </c>
      <c r="AR17" s="652">
        <f t="shared" si="13"/>
        <v>255985</v>
      </c>
      <c r="AS17" s="650">
        <f t="shared" si="14"/>
        <v>190000</v>
      </c>
      <c r="AT17" s="651">
        <f t="shared" si="15"/>
        <v>11938</v>
      </c>
      <c r="AU17" s="652">
        <f t="shared" si="16"/>
        <v>201938</v>
      </c>
      <c r="AV17" s="650">
        <f t="shared" si="17"/>
        <v>142500</v>
      </c>
      <c r="AW17" s="651">
        <f t="shared" si="18"/>
        <v>6816</v>
      </c>
      <c r="AX17" s="652">
        <f t="shared" si="19"/>
        <v>149316</v>
      </c>
      <c r="AY17" s="650">
        <f t="shared" si="20"/>
        <v>95000</v>
      </c>
      <c r="AZ17" s="651">
        <f t="shared" si="21"/>
        <v>3119</v>
      </c>
      <c r="BA17" s="652">
        <f t="shared" si="22"/>
        <v>98119</v>
      </c>
      <c r="BB17" s="650">
        <f t="shared" si="23"/>
        <v>47500</v>
      </c>
      <c r="BC17" s="651">
        <f t="shared" si="24"/>
        <v>847</v>
      </c>
      <c r="BD17" s="652">
        <f t="shared" si="25"/>
        <v>48347</v>
      </c>
      <c r="BE17" s="650">
        <f t="shared" si="26"/>
        <v>0</v>
      </c>
      <c r="BF17" s="651">
        <f t="shared" si="27"/>
        <v>0</v>
      </c>
      <c r="BG17" s="652">
        <f t="shared" si="28"/>
        <v>0</v>
      </c>
      <c r="BH17" s="650">
        <f t="shared" si="29"/>
        <v>0</v>
      </c>
      <c r="BI17" s="651">
        <f t="shared" si="30"/>
        <v>0</v>
      </c>
      <c r="BJ17" s="652">
        <f t="shared" si="31"/>
        <v>0</v>
      </c>
      <c r="BK17" s="650">
        <f t="shared" si="32"/>
        <v>0</v>
      </c>
      <c r="BL17" s="651">
        <f t="shared" si="33"/>
        <v>0</v>
      </c>
      <c r="BM17" s="652">
        <f t="shared" si="34"/>
        <v>0</v>
      </c>
      <c r="BN17" s="650">
        <f t="shared" si="35"/>
        <v>0</v>
      </c>
      <c r="BO17" s="651">
        <f t="shared" si="36"/>
        <v>0</v>
      </c>
      <c r="BP17" s="652">
        <f t="shared" si="37"/>
        <v>0</v>
      </c>
      <c r="BQ17" s="650">
        <f t="shared" si="38"/>
        <v>0</v>
      </c>
      <c r="BR17" s="651">
        <f t="shared" si="39"/>
        <v>0</v>
      </c>
      <c r="BS17" s="652">
        <f t="shared" si="40"/>
        <v>0</v>
      </c>
      <c r="BT17" s="650">
        <f t="shared" si="41"/>
        <v>0</v>
      </c>
      <c r="BU17" s="651">
        <f t="shared" si="42"/>
        <v>0</v>
      </c>
      <c r="BV17" s="652">
        <f t="shared" si="43"/>
        <v>0</v>
      </c>
      <c r="BW17" s="650">
        <f t="shared" si="44"/>
        <v>0</v>
      </c>
      <c r="BX17" s="651">
        <f t="shared" si="45"/>
        <v>0</v>
      </c>
      <c r="BY17" s="652">
        <f t="shared" si="46"/>
        <v>0</v>
      </c>
      <c r="BZ17" s="435"/>
    </row>
    <row r="18" spans="1:78">
      <c r="A18" s="653" t="str">
        <f>'HSZ do groszy'!A18</f>
        <v>WFOŚiGW 174/2003/76/OA/no/P</v>
      </c>
      <c r="B18" s="654">
        <f>ROUNDUP('HSZ do groszy'!B18,0)</f>
        <v>307667</v>
      </c>
      <c r="C18" s="643">
        <f>ROUNDUP('HSZ do groszy'!C18,0)</f>
        <v>38000</v>
      </c>
      <c r="D18" s="644">
        <f>ROUNDUP('HSZ do groszy'!D18,0)</f>
        <v>834</v>
      </c>
      <c r="E18" s="643">
        <f t="shared" si="5"/>
        <v>38000</v>
      </c>
      <c r="F18" s="644">
        <f t="shared" si="6"/>
        <v>94</v>
      </c>
      <c r="G18" s="643">
        <f>ROUNDUP('HSZ do groszy'!G18,0)</f>
        <v>38000</v>
      </c>
      <c r="H18" s="644">
        <f>ROUNDUP('HSZ do groszy'!H18,0)</f>
        <v>94</v>
      </c>
      <c r="I18" s="643">
        <f>ROUNDUP('HSZ do groszy'!I18,0)</f>
        <v>0</v>
      </c>
      <c r="J18" s="644">
        <f>ROUNDUP('HSZ do groszy'!J18,0)</f>
        <v>0</v>
      </c>
      <c r="K18" s="645">
        <f>ROUNDUP('HSZ do groszy'!K18,0)</f>
        <v>0</v>
      </c>
      <c r="L18" s="646">
        <f>ROUNDUP('HSZ do groszy'!L18,0)</f>
        <v>0</v>
      </c>
      <c r="M18" s="643">
        <f>ROUNDUP('HSZ do groszy'!M18,0)</f>
        <v>0</v>
      </c>
      <c r="N18" s="644">
        <f>ROUNDUP('HSZ do groszy'!N18,0)</f>
        <v>0</v>
      </c>
      <c r="O18" s="645">
        <f>ROUNDUP('HSZ do groszy'!O18,0)</f>
        <v>0</v>
      </c>
      <c r="P18" s="646">
        <f>ROUNDUP('HSZ do groszy'!P18,0)</f>
        <v>0</v>
      </c>
      <c r="Q18" s="643">
        <f>ROUNDUP('HSZ do groszy'!Q18,0)</f>
        <v>0</v>
      </c>
      <c r="R18" s="644">
        <f>ROUNDUP('HSZ do groszy'!R18,0)</f>
        <v>0</v>
      </c>
      <c r="S18" s="645">
        <f>ROUNDUP('HSZ do groszy'!S18,0)</f>
        <v>0</v>
      </c>
      <c r="T18" s="646">
        <f>ROUNDUP('HSZ do groszy'!T18,0)</f>
        <v>0</v>
      </c>
      <c r="U18" s="643">
        <f>ROUNDUP('HSZ do groszy'!U18,0)</f>
        <v>0</v>
      </c>
      <c r="V18" s="644">
        <f>ROUNDUP('HSZ do groszy'!V18,0)</f>
        <v>0</v>
      </c>
      <c r="W18" s="645">
        <f>ROUNDUP('HSZ do groszy'!W18,0)</f>
        <v>0</v>
      </c>
      <c r="X18" s="646">
        <f>ROUNDUP('HSZ do groszy'!X18,0)</f>
        <v>0</v>
      </c>
      <c r="Y18" s="643">
        <f>ROUNDUP('HSZ do groszy'!Y18,0)</f>
        <v>0</v>
      </c>
      <c r="Z18" s="644">
        <f>ROUNDUP('HSZ do groszy'!Z18,0)</f>
        <v>0</v>
      </c>
      <c r="AA18" s="645">
        <f>ROUNDUP('HSZ do groszy'!AA18,0)</f>
        <v>0</v>
      </c>
      <c r="AB18" s="646">
        <f>ROUNDUP('HSZ do groszy'!AB18,0)</f>
        <v>0</v>
      </c>
      <c r="AC18" s="643">
        <f>ROUNDUP('HSZ do groszy'!AC18,0)</f>
        <v>0</v>
      </c>
      <c r="AD18" s="644">
        <f>ROUNDUP('HSZ do groszy'!AD18,0)</f>
        <v>0</v>
      </c>
      <c r="AE18" s="645">
        <f>ROUNDUP('HSZ do groszy'!AE18,0)</f>
        <v>0</v>
      </c>
      <c r="AF18" s="644">
        <f>ROUNDUP('HSZ do groszy'!AF18,0)</f>
        <v>0</v>
      </c>
      <c r="AG18" s="645">
        <f>ROUNDUP('HSZ do groszy'!AG18,0)</f>
        <v>0</v>
      </c>
      <c r="AH18" s="647">
        <f>ROUNDUP('HSZ do groszy'!AH18,0)</f>
        <v>0</v>
      </c>
      <c r="AI18" s="435"/>
      <c r="AJ18" s="435"/>
      <c r="AK18" s="648" t="str">
        <f t="shared" si="7"/>
        <v>WFOŚiGW 174/2003/76/OA/no/P</v>
      </c>
      <c r="AL18" s="649">
        <f t="shared" si="7"/>
        <v>307667</v>
      </c>
      <c r="AM18" s="650">
        <f t="shared" si="8"/>
        <v>0</v>
      </c>
      <c r="AN18" s="651">
        <f t="shared" si="9"/>
        <v>0</v>
      </c>
      <c r="AO18" s="652">
        <f t="shared" si="10"/>
        <v>0</v>
      </c>
      <c r="AP18" s="650">
        <f t="shared" si="11"/>
        <v>0</v>
      </c>
      <c r="AQ18" s="651">
        <f t="shared" si="12"/>
        <v>0</v>
      </c>
      <c r="AR18" s="652">
        <f t="shared" si="13"/>
        <v>0</v>
      </c>
      <c r="AS18" s="650">
        <f t="shared" si="14"/>
        <v>0</v>
      </c>
      <c r="AT18" s="651">
        <f t="shared" si="15"/>
        <v>0</v>
      </c>
      <c r="AU18" s="652">
        <f t="shared" si="16"/>
        <v>0</v>
      </c>
      <c r="AV18" s="650">
        <f t="shared" si="17"/>
        <v>0</v>
      </c>
      <c r="AW18" s="651">
        <f t="shared" si="18"/>
        <v>0</v>
      </c>
      <c r="AX18" s="652">
        <f t="shared" si="19"/>
        <v>0</v>
      </c>
      <c r="AY18" s="650">
        <f t="shared" si="20"/>
        <v>0</v>
      </c>
      <c r="AZ18" s="651">
        <f t="shared" si="21"/>
        <v>0</v>
      </c>
      <c r="BA18" s="652">
        <f t="shared" si="22"/>
        <v>0</v>
      </c>
      <c r="BB18" s="650">
        <f t="shared" si="23"/>
        <v>0</v>
      </c>
      <c r="BC18" s="651">
        <f t="shared" si="24"/>
        <v>0</v>
      </c>
      <c r="BD18" s="652">
        <f t="shared" si="25"/>
        <v>0</v>
      </c>
      <c r="BE18" s="650">
        <f t="shared" si="26"/>
        <v>0</v>
      </c>
      <c r="BF18" s="651">
        <f t="shared" si="27"/>
        <v>0</v>
      </c>
      <c r="BG18" s="652">
        <f t="shared" si="28"/>
        <v>0</v>
      </c>
      <c r="BH18" s="650">
        <f t="shared" si="29"/>
        <v>0</v>
      </c>
      <c r="BI18" s="651">
        <f t="shared" si="30"/>
        <v>0</v>
      </c>
      <c r="BJ18" s="652">
        <f t="shared" si="31"/>
        <v>0</v>
      </c>
      <c r="BK18" s="650">
        <f t="shared" si="32"/>
        <v>0</v>
      </c>
      <c r="BL18" s="651">
        <f t="shared" si="33"/>
        <v>0</v>
      </c>
      <c r="BM18" s="652">
        <f t="shared" si="34"/>
        <v>0</v>
      </c>
      <c r="BN18" s="650">
        <f t="shared" si="35"/>
        <v>0</v>
      </c>
      <c r="BO18" s="651">
        <f t="shared" si="36"/>
        <v>0</v>
      </c>
      <c r="BP18" s="652">
        <f t="shared" si="37"/>
        <v>0</v>
      </c>
      <c r="BQ18" s="650">
        <f t="shared" si="38"/>
        <v>0</v>
      </c>
      <c r="BR18" s="651">
        <f t="shared" si="39"/>
        <v>0</v>
      </c>
      <c r="BS18" s="652">
        <f t="shared" si="40"/>
        <v>0</v>
      </c>
      <c r="BT18" s="650">
        <f t="shared" si="41"/>
        <v>0</v>
      </c>
      <c r="BU18" s="651">
        <f t="shared" si="42"/>
        <v>0</v>
      </c>
      <c r="BV18" s="652">
        <f t="shared" si="43"/>
        <v>0</v>
      </c>
      <c r="BW18" s="650">
        <f t="shared" si="44"/>
        <v>0</v>
      </c>
      <c r="BX18" s="651">
        <f t="shared" si="45"/>
        <v>0</v>
      </c>
      <c r="BY18" s="652">
        <f t="shared" si="46"/>
        <v>0</v>
      </c>
      <c r="BZ18" s="435"/>
    </row>
    <row r="19" spans="1:78">
      <c r="A19" s="641" t="str">
        <f>'HSZ do groszy'!A19</f>
        <v>WFOŚiGW 194/2008/76/OA/no/P</v>
      </c>
      <c r="B19" s="642">
        <f>ROUNDUP('HSZ do groszy'!B19,0)</f>
        <v>366174</v>
      </c>
      <c r="C19" s="643">
        <f>ROUNDUP('HSZ do groszy'!C19,0)</f>
        <v>37000</v>
      </c>
      <c r="D19" s="644">
        <f>ROUNDUP('HSZ do groszy'!D19,0)</f>
        <v>10240</v>
      </c>
      <c r="E19" s="643">
        <f t="shared" si="5"/>
        <v>292174</v>
      </c>
      <c r="F19" s="644">
        <f t="shared" si="6"/>
        <v>32217</v>
      </c>
      <c r="G19" s="643">
        <f>ROUNDUP('HSZ do groszy'!G19,0)</f>
        <v>37000</v>
      </c>
      <c r="H19" s="644">
        <f>ROUNDUP('HSZ do groszy'!H19,0)</f>
        <v>8026</v>
      </c>
      <c r="I19" s="643">
        <f>ROUNDUP('HSZ do groszy'!I19,0)</f>
        <v>37000</v>
      </c>
      <c r="J19" s="644">
        <f>ROUNDUP('HSZ do groszy'!J19,0)</f>
        <v>6916</v>
      </c>
      <c r="K19" s="645">
        <f>ROUNDUP('HSZ do groszy'!K19,0)</f>
        <v>35087</v>
      </c>
      <c r="L19" s="646">
        <f>ROUNDUP('HSZ do groszy'!L19,0)</f>
        <v>5830</v>
      </c>
      <c r="M19" s="643">
        <f>ROUNDUP('HSZ do groszy'!M19,0)</f>
        <v>40686</v>
      </c>
      <c r="N19" s="644">
        <f>ROUNDUP('HSZ do groszy'!N19,0)</f>
        <v>4679</v>
      </c>
      <c r="O19" s="645">
        <f>ROUNDUP('HSZ do groszy'!O19,0)</f>
        <v>40686</v>
      </c>
      <c r="P19" s="646">
        <f>ROUNDUP('HSZ do groszy'!P19,0)</f>
        <v>3459</v>
      </c>
      <c r="Q19" s="643">
        <f>ROUNDUP('HSZ do groszy'!Q19,0)</f>
        <v>40686</v>
      </c>
      <c r="R19" s="644">
        <f>ROUNDUP('HSZ do groszy'!R19,0)</f>
        <v>2238</v>
      </c>
      <c r="S19" s="645">
        <f>ROUNDUP('HSZ do groszy'!S19,0)</f>
        <v>40686</v>
      </c>
      <c r="T19" s="646">
        <f>ROUNDUP('HSZ do groszy'!T19,0)</f>
        <v>1018</v>
      </c>
      <c r="U19" s="643">
        <f>ROUNDUP('HSZ do groszy'!U19,0)</f>
        <v>20343</v>
      </c>
      <c r="V19" s="644">
        <f>ROUNDUP('HSZ do groszy'!V19,0)</f>
        <v>51</v>
      </c>
      <c r="W19" s="645">
        <f>ROUNDUP('HSZ do groszy'!W19,0)</f>
        <v>0</v>
      </c>
      <c r="X19" s="646">
        <f>ROUNDUP('HSZ do groszy'!X19,0)</f>
        <v>0</v>
      </c>
      <c r="Y19" s="643">
        <f>ROUNDUP('HSZ do groszy'!Y19,0)</f>
        <v>0</v>
      </c>
      <c r="Z19" s="644">
        <f>ROUNDUP('HSZ do groszy'!Z19,0)</f>
        <v>0</v>
      </c>
      <c r="AA19" s="645">
        <f>ROUNDUP('HSZ do groszy'!AA19,0)</f>
        <v>0</v>
      </c>
      <c r="AB19" s="646">
        <f>ROUNDUP('HSZ do groszy'!AB19,0)</f>
        <v>0</v>
      </c>
      <c r="AC19" s="643">
        <f>ROUNDUP('HSZ do groszy'!AC19,0)</f>
        <v>0</v>
      </c>
      <c r="AD19" s="644">
        <f>ROUNDUP('HSZ do groszy'!AD19,0)</f>
        <v>0</v>
      </c>
      <c r="AE19" s="645">
        <f>ROUNDUP('HSZ do groszy'!AE19,0)</f>
        <v>0</v>
      </c>
      <c r="AF19" s="644">
        <f>ROUNDUP('HSZ do groszy'!AF19,0)</f>
        <v>0</v>
      </c>
      <c r="AG19" s="645">
        <f>ROUNDUP('HSZ do groszy'!AG19,0)</f>
        <v>0</v>
      </c>
      <c r="AH19" s="647">
        <f>ROUNDUP('HSZ do groszy'!AH19,0)</f>
        <v>0</v>
      </c>
      <c r="AI19" s="435"/>
      <c r="AJ19" s="435"/>
      <c r="AK19" s="648" t="str">
        <f t="shared" si="7"/>
        <v>WFOŚiGW 194/2008/76/OA/no/P</v>
      </c>
      <c r="AL19" s="649">
        <f t="shared" si="7"/>
        <v>366174</v>
      </c>
      <c r="AM19" s="650">
        <f t="shared" si="8"/>
        <v>255174</v>
      </c>
      <c r="AN19" s="651">
        <f t="shared" si="9"/>
        <v>24191</v>
      </c>
      <c r="AO19" s="652">
        <f t="shared" si="10"/>
        <v>279365</v>
      </c>
      <c r="AP19" s="650">
        <f t="shared" si="11"/>
        <v>218174</v>
      </c>
      <c r="AQ19" s="651">
        <f t="shared" si="12"/>
        <v>17275</v>
      </c>
      <c r="AR19" s="652">
        <f t="shared" si="13"/>
        <v>235449</v>
      </c>
      <c r="AS19" s="650">
        <f t="shared" si="14"/>
        <v>183087</v>
      </c>
      <c r="AT19" s="651">
        <f t="shared" si="15"/>
        <v>11445</v>
      </c>
      <c r="AU19" s="652">
        <f t="shared" si="16"/>
        <v>194532</v>
      </c>
      <c r="AV19" s="650">
        <f t="shared" si="17"/>
        <v>142401</v>
      </c>
      <c r="AW19" s="651">
        <f t="shared" si="18"/>
        <v>6766</v>
      </c>
      <c r="AX19" s="652">
        <f t="shared" si="19"/>
        <v>149167</v>
      </c>
      <c r="AY19" s="650">
        <f t="shared" si="20"/>
        <v>101715</v>
      </c>
      <c r="AZ19" s="651">
        <f t="shared" si="21"/>
        <v>3307</v>
      </c>
      <c r="BA19" s="652">
        <f t="shared" si="22"/>
        <v>105022</v>
      </c>
      <c r="BB19" s="650">
        <f t="shared" si="23"/>
        <v>61029</v>
      </c>
      <c r="BC19" s="651">
        <f t="shared" si="24"/>
        <v>1069</v>
      </c>
      <c r="BD19" s="652">
        <f t="shared" si="25"/>
        <v>62098</v>
      </c>
      <c r="BE19" s="650">
        <f t="shared" si="26"/>
        <v>20343</v>
      </c>
      <c r="BF19" s="651">
        <f t="shared" si="27"/>
        <v>51</v>
      </c>
      <c r="BG19" s="652">
        <f t="shared" si="28"/>
        <v>20394</v>
      </c>
      <c r="BH19" s="650">
        <f t="shared" si="29"/>
        <v>0</v>
      </c>
      <c r="BI19" s="651">
        <f t="shared" si="30"/>
        <v>0</v>
      </c>
      <c r="BJ19" s="652">
        <f t="shared" si="31"/>
        <v>0</v>
      </c>
      <c r="BK19" s="650">
        <f t="shared" si="32"/>
        <v>0</v>
      </c>
      <c r="BL19" s="651">
        <f t="shared" si="33"/>
        <v>0</v>
      </c>
      <c r="BM19" s="652">
        <f t="shared" si="34"/>
        <v>0</v>
      </c>
      <c r="BN19" s="650">
        <f t="shared" si="35"/>
        <v>0</v>
      </c>
      <c r="BO19" s="651">
        <f t="shared" si="36"/>
        <v>0</v>
      </c>
      <c r="BP19" s="652">
        <f t="shared" si="37"/>
        <v>0</v>
      </c>
      <c r="BQ19" s="650">
        <f t="shared" si="38"/>
        <v>0</v>
      </c>
      <c r="BR19" s="651">
        <f t="shared" si="39"/>
        <v>0</v>
      </c>
      <c r="BS19" s="652">
        <f t="shared" si="40"/>
        <v>0</v>
      </c>
      <c r="BT19" s="650">
        <f t="shared" si="41"/>
        <v>0</v>
      </c>
      <c r="BU19" s="651">
        <f t="shared" si="42"/>
        <v>0</v>
      </c>
      <c r="BV19" s="652">
        <f t="shared" si="43"/>
        <v>0</v>
      </c>
      <c r="BW19" s="650">
        <f t="shared" si="44"/>
        <v>0</v>
      </c>
      <c r="BX19" s="651">
        <f t="shared" si="45"/>
        <v>0</v>
      </c>
      <c r="BY19" s="652">
        <f t="shared" si="46"/>
        <v>0</v>
      </c>
      <c r="BZ19" s="435"/>
    </row>
    <row r="20" spans="1:78">
      <c r="A20" s="641" t="str">
        <f>'HSZ do groszy'!A20</f>
        <v>WFOŚiGW 260/2005/76/OA/oe/P</v>
      </c>
      <c r="B20" s="642">
        <f>ROUNDUP('HSZ do groszy'!B20,0)</f>
        <v>562761</v>
      </c>
      <c r="C20" s="643">
        <f>ROUNDUP('HSZ do groszy'!C20,0)</f>
        <v>62532</v>
      </c>
      <c r="D20" s="644">
        <f>ROUNDUP('HSZ do groszy'!D20,0)</f>
        <v>10995</v>
      </c>
      <c r="E20" s="643">
        <f t="shared" si="5"/>
        <v>265734</v>
      </c>
      <c r="F20" s="644">
        <f t="shared" si="6"/>
        <v>17880</v>
      </c>
      <c r="G20" s="643">
        <f>ROUNDUP('HSZ do groszy'!G20,0)</f>
        <v>62532</v>
      </c>
      <c r="H20" s="644">
        <f>ROUNDUP('HSZ do groszy'!H20,0)</f>
        <v>7249</v>
      </c>
      <c r="I20" s="643">
        <f>ROUNDUP('HSZ do groszy'!I20,0)</f>
        <v>62532</v>
      </c>
      <c r="J20" s="644">
        <f>ROUNDUP('HSZ do groszy'!J20,0)</f>
        <v>5374</v>
      </c>
      <c r="K20" s="645">
        <f>ROUNDUP('HSZ do groszy'!K20,0)</f>
        <v>62532</v>
      </c>
      <c r="L20" s="646">
        <f>ROUNDUP('HSZ do groszy'!L20,0)</f>
        <v>3517</v>
      </c>
      <c r="M20" s="643">
        <f>ROUNDUP('HSZ do groszy'!M20,0)</f>
        <v>62532</v>
      </c>
      <c r="N20" s="644">
        <f>ROUNDUP('HSZ do groszy'!N20,0)</f>
        <v>1622</v>
      </c>
      <c r="O20" s="645">
        <f>ROUNDUP('HSZ do groszy'!O20,0)</f>
        <v>15606</v>
      </c>
      <c r="P20" s="646">
        <f>ROUNDUP('HSZ do groszy'!P20,0)</f>
        <v>118</v>
      </c>
      <c r="Q20" s="643">
        <f>ROUNDUP('HSZ do groszy'!Q20,0)</f>
        <v>0</v>
      </c>
      <c r="R20" s="644">
        <f>ROUNDUP('HSZ do groszy'!R20,0)</f>
        <v>0</v>
      </c>
      <c r="S20" s="645">
        <f>ROUNDUP('HSZ do groszy'!S20,0)</f>
        <v>0</v>
      </c>
      <c r="T20" s="646">
        <f>ROUNDUP('HSZ do groszy'!T20,0)</f>
        <v>0</v>
      </c>
      <c r="U20" s="643">
        <f>ROUNDUP('HSZ do groszy'!U20,0)</f>
        <v>0</v>
      </c>
      <c r="V20" s="644">
        <f>ROUNDUP('HSZ do groszy'!V20,0)</f>
        <v>0</v>
      </c>
      <c r="W20" s="645">
        <f>ROUNDUP('HSZ do groszy'!W20,0)</f>
        <v>0</v>
      </c>
      <c r="X20" s="646">
        <f>ROUNDUP('HSZ do groszy'!X20,0)</f>
        <v>0</v>
      </c>
      <c r="Y20" s="643">
        <f>ROUNDUP('HSZ do groszy'!Y20,0)</f>
        <v>0</v>
      </c>
      <c r="Z20" s="644">
        <f>ROUNDUP('HSZ do groszy'!Z20,0)</f>
        <v>0</v>
      </c>
      <c r="AA20" s="645">
        <f>ROUNDUP('HSZ do groszy'!AA20,0)</f>
        <v>0</v>
      </c>
      <c r="AB20" s="646">
        <f>ROUNDUP('HSZ do groszy'!AB20,0)</f>
        <v>0</v>
      </c>
      <c r="AC20" s="643">
        <f>ROUNDUP('HSZ do groszy'!AC20,0)</f>
        <v>0</v>
      </c>
      <c r="AD20" s="644">
        <f>ROUNDUP('HSZ do groszy'!AD20,0)</f>
        <v>0</v>
      </c>
      <c r="AE20" s="645">
        <f>ROUNDUP('HSZ do groszy'!AE20,0)</f>
        <v>0</v>
      </c>
      <c r="AF20" s="644">
        <f>ROUNDUP('HSZ do groszy'!AF20,0)</f>
        <v>0</v>
      </c>
      <c r="AG20" s="645">
        <f>ROUNDUP('HSZ do groszy'!AG20,0)</f>
        <v>0</v>
      </c>
      <c r="AH20" s="647">
        <f>ROUNDUP('HSZ do groszy'!AH20,0)</f>
        <v>0</v>
      </c>
      <c r="AI20" s="435"/>
      <c r="AJ20" s="435"/>
      <c r="AK20" s="648" t="str">
        <f t="shared" si="7"/>
        <v>WFOŚiGW 260/2005/76/OA/oe/P</v>
      </c>
      <c r="AL20" s="649">
        <f t="shared" si="7"/>
        <v>562761</v>
      </c>
      <c r="AM20" s="650">
        <f t="shared" si="8"/>
        <v>203202</v>
      </c>
      <c r="AN20" s="651">
        <f t="shared" si="9"/>
        <v>10631</v>
      </c>
      <c r="AO20" s="652">
        <f t="shared" si="10"/>
        <v>213833</v>
      </c>
      <c r="AP20" s="650">
        <f t="shared" si="11"/>
        <v>140670</v>
      </c>
      <c r="AQ20" s="651">
        <f t="shared" si="12"/>
        <v>5257</v>
      </c>
      <c r="AR20" s="652">
        <f t="shared" si="13"/>
        <v>145927</v>
      </c>
      <c r="AS20" s="650">
        <f t="shared" si="14"/>
        <v>78138</v>
      </c>
      <c r="AT20" s="651">
        <f t="shared" si="15"/>
        <v>1740</v>
      </c>
      <c r="AU20" s="652">
        <f t="shared" si="16"/>
        <v>79878</v>
      </c>
      <c r="AV20" s="650">
        <f t="shared" si="17"/>
        <v>15606</v>
      </c>
      <c r="AW20" s="651">
        <f t="shared" si="18"/>
        <v>118</v>
      </c>
      <c r="AX20" s="652">
        <f t="shared" si="19"/>
        <v>15724</v>
      </c>
      <c r="AY20" s="650">
        <f t="shared" si="20"/>
        <v>0</v>
      </c>
      <c r="AZ20" s="651">
        <f t="shared" si="21"/>
        <v>0</v>
      </c>
      <c r="BA20" s="652">
        <f t="shared" si="22"/>
        <v>0</v>
      </c>
      <c r="BB20" s="650">
        <f t="shared" si="23"/>
        <v>0</v>
      </c>
      <c r="BC20" s="651">
        <f t="shared" si="24"/>
        <v>0</v>
      </c>
      <c r="BD20" s="652">
        <f t="shared" si="25"/>
        <v>0</v>
      </c>
      <c r="BE20" s="650">
        <f t="shared" si="26"/>
        <v>0</v>
      </c>
      <c r="BF20" s="651">
        <f t="shared" si="27"/>
        <v>0</v>
      </c>
      <c r="BG20" s="652">
        <f t="shared" si="28"/>
        <v>0</v>
      </c>
      <c r="BH20" s="650">
        <f t="shared" si="29"/>
        <v>0</v>
      </c>
      <c r="BI20" s="651">
        <f t="shared" si="30"/>
        <v>0</v>
      </c>
      <c r="BJ20" s="652">
        <f t="shared" si="31"/>
        <v>0</v>
      </c>
      <c r="BK20" s="650">
        <f t="shared" si="32"/>
        <v>0</v>
      </c>
      <c r="BL20" s="651">
        <f t="shared" si="33"/>
        <v>0</v>
      </c>
      <c r="BM20" s="652">
        <f t="shared" si="34"/>
        <v>0</v>
      </c>
      <c r="BN20" s="650">
        <f t="shared" si="35"/>
        <v>0</v>
      </c>
      <c r="BO20" s="651">
        <f t="shared" si="36"/>
        <v>0</v>
      </c>
      <c r="BP20" s="652">
        <f t="shared" si="37"/>
        <v>0</v>
      </c>
      <c r="BQ20" s="650">
        <f t="shared" si="38"/>
        <v>0</v>
      </c>
      <c r="BR20" s="651">
        <f t="shared" si="39"/>
        <v>0</v>
      </c>
      <c r="BS20" s="652">
        <f t="shared" si="40"/>
        <v>0</v>
      </c>
      <c r="BT20" s="650">
        <f t="shared" si="41"/>
        <v>0</v>
      </c>
      <c r="BU20" s="651">
        <f t="shared" si="42"/>
        <v>0</v>
      </c>
      <c r="BV20" s="652">
        <f t="shared" si="43"/>
        <v>0</v>
      </c>
      <c r="BW20" s="650">
        <f t="shared" si="44"/>
        <v>0</v>
      </c>
      <c r="BX20" s="651">
        <f t="shared" si="45"/>
        <v>0</v>
      </c>
      <c r="BY20" s="652">
        <f t="shared" si="46"/>
        <v>0</v>
      </c>
      <c r="BZ20" s="435"/>
    </row>
    <row r="21" spans="1:78">
      <c r="A21" s="653" t="str">
        <f>'HSZ do groszy'!A21</f>
        <v>WFOŚiGW 302/2006/76/OA/po/P</v>
      </c>
      <c r="B21" s="654">
        <f>ROUNDUP('HSZ do groszy'!B21,0)</f>
        <v>917338</v>
      </c>
      <c r="C21" s="643">
        <f>ROUNDUP('HSZ do groszy'!C21,0)</f>
        <v>162720</v>
      </c>
      <c r="D21" s="644">
        <f>ROUNDUP('HSZ do groszy'!D21,0)</f>
        <v>18198</v>
      </c>
      <c r="E21" s="643">
        <f t="shared" si="5"/>
        <v>347818</v>
      </c>
      <c r="F21" s="644">
        <f t="shared" si="6"/>
        <v>12206</v>
      </c>
      <c r="G21" s="643">
        <f>ROUNDUP('HSZ do groszy'!G21,0)</f>
        <v>162720</v>
      </c>
      <c r="H21" s="644">
        <f>ROUNDUP('HSZ do groszy'!H21,0)</f>
        <v>8469</v>
      </c>
      <c r="I21" s="643">
        <f>ROUNDUP('HSZ do groszy'!I21,0)</f>
        <v>162720</v>
      </c>
      <c r="J21" s="644">
        <f>ROUNDUP('HSZ do groszy'!J21,0)</f>
        <v>3587</v>
      </c>
      <c r="K21" s="645">
        <f>ROUNDUP('HSZ do groszy'!K21,0)</f>
        <v>22378</v>
      </c>
      <c r="L21" s="646">
        <f>ROUNDUP('HSZ do groszy'!L21,0)</f>
        <v>150</v>
      </c>
      <c r="M21" s="643">
        <f>ROUNDUP('HSZ do groszy'!M21,0)</f>
        <v>0</v>
      </c>
      <c r="N21" s="644">
        <f>ROUNDUP('HSZ do groszy'!N21,0)</f>
        <v>0</v>
      </c>
      <c r="O21" s="645">
        <f>ROUNDUP('HSZ do groszy'!O21,0)</f>
        <v>0</v>
      </c>
      <c r="P21" s="646">
        <f>ROUNDUP('HSZ do groszy'!P21,0)</f>
        <v>0</v>
      </c>
      <c r="Q21" s="643">
        <f>ROUNDUP('HSZ do groszy'!Q21,0)</f>
        <v>0</v>
      </c>
      <c r="R21" s="644">
        <f>ROUNDUP('HSZ do groszy'!R21,0)</f>
        <v>0</v>
      </c>
      <c r="S21" s="645">
        <f>ROUNDUP('HSZ do groszy'!S21,0)</f>
        <v>0</v>
      </c>
      <c r="T21" s="646">
        <f>ROUNDUP('HSZ do groszy'!T21,0)</f>
        <v>0</v>
      </c>
      <c r="U21" s="643">
        <f>ROUNDUP('HSZ do groszy'!U21,0)</f>
        <v>0</v>
      </c>
      <c r="V21" s="644">
        <f>ROUNDUP('HSZ do groszy'!V21,0)</f>
        <v>0</v>
      </c>
      <c r="W21" s="645">
        <f>ROUNDUP('HSZ do groszy'!W21,0)</f>
        <v>0</v>
      </c>
      <c r="X21" s="646">
        <f>ROUNDUP('HSZ do groszy'!X21,0)</f>
        <v>0</v>
      </c>
      <c r="Y21" s="643">
        <f>ROUNDUP('HSZ do groszy'!Y21,0)</f>
        <v>0</v>
      </c>
      <c r="Z21" s="644">
        <f>ROUNDUP('HSZ do groszy'!Z21,0)</f>
        <v>0</v>
      </c>
      <c r="AA21" s="645">
        <f>ROUNDUP('HSZ do groszy'!AA21,0)</f>
        <v>0</v>
      </c>
      <c r="AB21" s="646">
        <f>ROUNDUP('HSZ do groszy'!AB21,0)</f>
        <v>0</v>
      </c>
      <c r="AC21" s="643">
        <f>ROUNDUP('HSZ do groszy'!AC21,0)</f>
        <v>0</v>
      </c>
      <c r="AD21" s="644">
        <f>ROUNDUP('HSZ do groszy'!AD21,0)</f>
        <v>0</v>
      </c>
      <c r="AE21" s="645">
        <f>ROUNDUP('HSZ do groszy'!AE21,0)</f>
        <v>0</v>
      </c>
      <c r="AF21" s="644">
        <f>ROUNDUP('HSZ do groszy'!AF21,0)</f>
        <v>0</v>
      </c>
      <c r="AG21" s="645">
        <f>ROUNDUP('HSZ do groszy'!AG21,0)</f>
        <v>0</v>
      </c>
      <c r="AH21" s="647">
        <f>ROUNDUP('HSZ do groszy'!AH21,0)</f>
        <v>0</v>
      </c>
      <c r="AI21" s="435"/>
      <c r="AJ21" s="435"/>
      <c r="AK21" s="648" t="str">
        <f t="shared" si="7"/>
        <v>WFOŚiGW 302/2006/76/OA/po/P</v>
      </c>
      <c r="AL21" s="649">
        <f t="shared" si="7"/>
        <v>917338</v>
      </c>
      <c r="AM21" s="650">
        <f t="shared" si="8"/>
        <v>185098</v>
      </c>
      <c r="AN21" s="651">
        <f t="shared" si="9"/>
        <v>3737</v>
      </c>
      <c r="AO21" s="652">
        <f t="shared" si="10"/>
        <v>188835</v>
      </c>
      <c r="AP21" s="650">
        <f t="shared" si="11"/>
        <v>22378</v>
      </c>
      <c r="AQ21" s="651">
        <f t="shared" si="12"/>
        <v>150</v>
      </c>
      <c r="AR21" s="652">
        <f t="shared" si="13"/>
        <v>22528</v>
      </c>
      <c r="AS21" s="650">
        <f t="shared" si="14"/>
        <v>0</v>
      </c>
      <c r="AT21" s="651">
        <f t="shared" si="15"/>
        <v>0</v>
      </c>
      <c r="AU21" s="652">
        <f t="shared" si="16"/>
        <v>0</v>
      </c>
      <c r="AV21" s="650">
        <f t="shared" si="17"/>
        <v>0</v>
      </c>
      <c r="AW21" s="651">
        <f t="shared" si="18"/>
        <v>0</v>
      </c>
      <c r="AX21" s="652">
        <f t="shared" si="19"/>
        <v>0</v>
      </c>
      <c r="AY21" s="650">
        <f t="shared" si="20"/>
        <v>0</v>
      </c>
      <c r="AZ21" s="651">
        <f t="shared" si="21"/>
        <v>0</v>
      </c>
      <c r="BA21" s="652">
        <f t="shared" si="22"/>
        <v>0</v>
      </c>
      <c r="BB21" s="650">
        <f t="shared" si="23"/>
        <v>0</v>
      </c>
      <c r="BC21" s="651">
        <f t="shared" si="24"/>
        <v>0</v>
      </c>
      <c r="BD21" s="652">
        <f t="shared" si="25"/>
        <v>0</v>
      </c>
      <c r="BE21" s="650">
        <f t="shared" si="26"/>
        <v>0</v>
      </c>
      <c r="BF21" s="651">
        <f t="shared" si="27"/>
        <v>0</v>
      </c>
      <c r="BG21" s="652">
        <f t="shared" si="28"/>
        <v>0</v>
      </c>
      <c r="BH21" s="650">
        <f t="shared" si="29"/>
        <v>0</v>
      </c>
      <c r="BI21" s="651">
        <f t="shared" si="30"/>
        <v>0</v>
      </c>
      <c r="BJ21" s="652">
        <f t="shared" si="31"/>
        <v>0</v>
      </c>
      <c r="BK21" s="650">
        <f t="shared" si="32"/>
        <v>0</v>
      </c>
      <c r="BL21" s="651">
        <f t="shared" si="33"/>
        <v>0</v>
      </c>
      <c r="BM21" s="652">
        <f t="shared" si="34"/>
        <v>0</v>
      </c>
      <c r="BN21" s="650">
        <f t="shared" si="35"/>
        <v>0</v>
      </c>
      <c r="BO21" s="651">
        <f t="shared" si="36"/>
        <v>0</v>
      </c>
      <c r="BP21" s="652">
        <f t="shared" si="37"/>
        <v>0</v>
      </c>
      <c r="BQ21" s="650">
        <f t="shared" si="38"/>
        <v>0</v>
      </c>
      <c r="BR21" s="651">
        <f t="shared" si="39"/>
        <v>0</v>
      </c>
      <c r="BS21" s="652">
        <f t="shared" si="40"/>
        <v>0</v>
      </c>
      <c r="BT21" s="650">
        <f t="shared" si="41"/>
        <v>0</v>
      </c>
      <c r="BU21" s="651">
        <f t="shared" si="42"/>
        <v>0</v>
      </c>
      <c r="BV21" s="652">
        <f t="shared" si="43"/>
        <v>0</v>
      </c>
      <c r="BW21" s="650">
        <f t="shared" si="44"/>
        <v>0</v>
      </c>
      <c r="BX21" s="651">
        <f t="shared" si="45"/>
        <v>0</v>
      </c>
      <c r="BY21" s="652">
        <f t="shared" si="46"/>
        <v>0</v>
      </c>
      <c r="BZ21" s="435"/>
    </row>
    <row r="22" spans="1:78">
      <c r="A22" s="641" t="str">
        <f>'HSZ do groszy'!A22</f>
        <v>WFOŚiGW 309/2006/76/OZ/uk/P</v>
      </c>
      <c r="B22" s="654">
        <f>ROUNDUP('HSZ do groszy'!B22,0)</f>
        <v>548278</v>
      </c>
      <c r="C22" s="643">
        <f>ROUNDUP('HSZ do groszy'!C22,0)</f>
        <v>54824</v>
      </c>
      <c r="D22" s="644">
        <f>ROUNDUP('HSZ do groszy'!D22,0)</f>
        <v>12125</v>
      </c>
      <c r="E22" s="643">
        <f t="shared" si="5"/>
        <v>315238</v>
      </c>
      <c r="F22" s="644">
        <f t="shared" si="6"/>
        <v>28374</v>
      </c>
      <c r="G22" s="643">
        <f>ROUNDUP('HSZ do groszy'!G22,0)</f>
        <v>54824</v>
      </c>
      <c r="H22" s="644">
        <f>ROUNDUP('HSZ do groszy'!H22,0)</f>
        <v>8841</v>
      </c>
      <c r="I22" s="643">
        <f>ROUNDUP('HSZ do groszy'!I22,0)</f>
        <v>54824</v>
      </c>
      <c r="J22" s="644">
        <f>ROUNDUP('HSZ do groszy'!J22,0)</f>
        <v>7196</v>
      </c>
      <c r="K22" s="645">
        <f>ROUNDUP('HSZ do groszy'!K22,0)</f>
        <v>54824</v>
      </c>
      <c r="L22" s="646">
        <f>ROUNDUP('HSZ do groszy'!L22,0)</f>
        <v>5551</v>
      </c>
      <c r="M22" s="643">
        <f>ROUNDUP('HSZ do groszy'!M22,0)</f>
        <v>54824</v>
      </c>
      <c r="N22" s="644">
        <f>ROUNDUP('HSZ do groszy'!N22,0)</f>
        <v>3907</v>
      </c>
      <c r="O22" s="645">
        <f>ROUNDUP('HSZ do groszy'!O22,0)</f>
        <v>54824</v>
      </c>
      <c r="P22" s="646">
        <f>ROUNDUP('HSZ do groszy'!P22,0)</f>
        <v>2262</v>
      </c>
      <c r="Q22" s="643">
        <f>ROUNDUP('HSZ do groszy'!Q22,0)</f>
        <v>41118</v>
      </c>
      <c r="R22" s="644">
        <f>ROUNDUP('HSZ do groszy'!R22,0)</f>
        <v>617</v>
      </c>
      <c r="S22" s="645">
        <f>ROUNDUP('HSZ do groszy'!S22,0)</f>
        <v>0</v>
      </c>
      <c r="T22" s="646">
        <f>ROUNDUP('HSZ do groszy'!T22,0)</f>
        <v>0</v>
      </c>
      <c r="U22" s="643">
        <f>ROUNDUP('HSZ do groszy'!U22,0)</f>
        <v>0</v>
      </c>
      <c r="V22" s="644">
        <f>ROUNDUP('HSZ do groszy'!V22,0)</f>
        <v>0</v>
      </c>
      <c r="W22" s="645">
        <f>ROUNDUP('HSZ do groszy'!W22,0)</f>
        <v>0</v>
      </c>
      <c r="X22" s="646">
        <f>ROUNDUP('HSZ do groszy'!X22,0)</f>
        <v>0</v>
      </c>
      <c r="Y22" s="643">
        <f>ROUNDUP('HSZ do groszy'!Y22,0)</f>
        <v>0</v>
      </c>
      <c r="Z22" s="644">
        <f>ROUNDUP('HSZ do groszy'!Z22,0)</f>
        <v>0</v>
      </c>
      <c r="AA22" s="645">
        <f>ROUNDUP('HSZ do groszy'!AA22,0)</f>
        <v>0</v>
      </c>
      <c r="AB22" s="646">
        <f>ROUNDUP('HSZ do groszy'!AB22,0)</f>
        <v>0</v>
      </c>
      <c r="AC22" s="643">
        <f>ROUNDUP('HSZ do groszy'!AC22,0)</f>
        <v>0</v>
      </c>
      <c r="AD22" s="644">
        <f>ROUNDUP('HSZ do groszy'!AD22,0)</f>
        <v>0</v>
      </c>
      <c r="AE22" s="645">
        <f>ROUNDUP('HSZ do groszy'!AE22,0)</f>
        <v>0</v>
      </c>
      <c r="AF22" s="644">
        <f>ROUNDUP('HSZ do groszy'!AF22,0)</f>
        <v>0</v>
      </c>
      <c r="AG22" s="645">
        <f>ROUNDUP('HSZ do groszy'!AG22,0)</f>
        <v>0</v>
      </c>
      <c r="AH22" s="647">
        <f>ROUNDUP('HSZ do groszy'!AH22,0)</f>
        <v>0</v>
      </c>
      <c r="AI22" s="435"/>
      <c r="AJ22" s="435"/>
      <c r="AK22" s="648" t="str">
        <f t="shared" si="7"/>
        <v>WFOŚiGW 309/2006/76/OZ/uk/P</v>
      </c>
      <c r="AL22" s="649">
        <f t="shared" si="7"/>
        <v>548278</v>
      </c>
      <c r="AM22" s="650">
        <f t="shared" si="8"/>
        <v>260414</v>
      </c>
      <c r="AN22" s="651">
        <f t="shared" si="9"/>
        <v>19533</v>
      </c>
      <c r="AO22" s="652">
        <f t="shared" si="10"/>
        <v>279947</v>
      </c>
      <c r="AP22" s="650">
        <f t="shared" si="11"/>
        <v>205590</v>
      </c>
      <c r="AQ22" s="651">
        <f t="shared" si="12"/>
        <v>12337</v>
      </c>
      <c r="AR22" s="652">
        <f t="shared" si="13"/>
        <v>217927</v>
      </c>
      <c r="AS22" s="650">
        <f t="shared" si="14"/>
        <v>150766</v>
      </c>
      <c r="AT22" s="651">
        <f t="shared" si="15"/>
        <v>6786</v>
      </c>
      <c r="AU22" s="652">
        <f t="shared" si="16"/>
        <v>157552</v>
      </c>
      <c r="AV22" s="650">
        <f t="shared" si="17"/>
        <v>95942</v>
      </c>
      <c r="AW22" s="651">
        <f t="shared" si="18"/>
        <v>2879</v>
      </c>
      <c r="AX22" s="652">
        <f t="shared" si="19"/>
        <v>98821</v>
      </c>
      <c r="AY22" s="650">
        <f t="shared" si="20"/>
        <v>41118</v>
      </c>
      <c r="AZ22" s="651">
        <f t="shared" si="21"/>
        <v>617</v>
      </c>
      <c r="BA22" s="652">
        <f t="shared" si="22"/>
        <v>41735</v>
      </c>
      <c r="BB22" s="650">
        <f t="shared" si="23"/>
        <v>0</v>
      </c>
      <c r="BC22" s="651">
        <f t="shared" si="24"/>
        <v>0</v>
      </c>
      <c r="BD22" s="652">
        <f t="shared" si="25"/>
        <v>0</v>
      </c>
      <c r="BE22" s="650">
        <f t="shared" si="26"/>
        <v>0</v>
      </c>
      <c r="BF22" s="651">
        <f t="shared" si="27"/>
        <v>0</v>
      </c>
      <c r="BG22" s="652">
        <f t="shared" si="28"/>
        <v>0</v>
      </c>
      <c r="BH22" s="650">
        <f t="shared" si="29"/>
        <v>0</v>
      </c>
      <c r="BI22" s="651">
        <f t="shared" si="30"/>
        <v>0</v>
      </c>
      <c r="BJ22" s="652">
        <f t="shared" si="31"/>
        <v>0</v>
      </c>
      <c r="BK22" s="650">
        <f t="shared" si="32"/>
        <v>0</v>
      </c>
      <c r="BL22" s="651">
        <f t="shared" si="33"/>
        <v>0</v>
      </c>
      <c r="BM22" s="652">
        <f t="shared" si="34"/>
        <v>0</v>
      </c>
      <c r="BN22" s="650">
        <f t="shared" si="35"/>
        <v>0</v>
      </c>
      <c r="BO22" s="651">
        <f t="shared" si="36"/>
        <v>0</v>
      </c>
      <c r="BP22" s="652">
        <f t="shared" si="37"/>
        <v>0</v>
      </c>
      <c r="BQ22" s="650">
        <f t="shared" si="38"/>
        <v>0</v>
      </c>
      <c r="BR22" s="651">
        <f t="shared" si="39"/>
        <v>0</v>
      </c>
      <c r="BS22" s="652">
        <f t="shared" si="40"/>
        <v>0</v>
      </c>
      <c r="BT22" s="650">
        <f t="shared" si="41"/>
        <v>0</v>
      </c>
      <c r="BU22" s="651">
        <f t="shared" si="42"/>
        <v>0</v>
      </c>
      <c r="BV22" s="652">
        <f t="shared" si="43"/>
        <v>0</v>
      </c>
      <c r="BW22" s="650">
        <f t="shared" si="44"/>
        <v>0</v>
      </c>
      <c r="BX22" s="651">
        <f t="shared" si="45"/>
        <v>0</v>
      </c>
      <c r="BY22" s="652">
        <f t="shared" si="46"/>
        <v>0</v>
      </c>
      <c r="BZ22" s="435"/>
    </row>
    <row r="23" spans="1:78">
      <c r="A23" s="641" t="str">
        <f>'HSZ do groszy'!A23</f>
        <v>WFOŚiGW 315/2007/76/OA/no/P</v>
      </c>
      <c r="B23" s="654">
        <f>ROUNDUP('HSZ do groszy'!B23,0)</f>
        <v>222896</v>
      </c>
      <c r="C23" s="643">
        <f>ROUNDUP('HSZ do groszy'!C23,0)</f>
        <v>23480</v>
      </c>
      <c r="D23" s="644">
        <f>ROUNDUP('HSZ do groszy'!D23,0)</f>
        <v>5870</v>
      </c>
      <c r="E23" s="643">
        <f t="shared" si="5"/>
        <v>158326</v>
      </c>
      <c r="F23" s="644">
        <f t="shared" si="6"/>
        <v>16480</v>
      </c>
      <c r="G23" s="643">
        <f>ROUNDUP('HSZ do groszy'!G23,0)</f>
        <v>23480</v>
      </c>
      <c r="H23" s="644">
        <f>ROUNDUP('HSZ do groszy'!H23,0)</f>
        <v>4467</v>
      </c>
      <c r="I23" s="643">
        <f>ROUNDUP('HSZ do groszy'!I23,0)</f>
        <v>23480</v>
      </c>
      <c r="J23" s="644">
        <f>ROUNDUP('HSZ do groszy'!J23,0)</f>
        <v>3762</v>
      </c>
      <c r="K23" s="645">
        <f>ROUNDUP('HSZ do groszy'!K23,0)</f>
        <v>23480</v>
      </c>
      <c r="L23" s="646">
        <f>ROUNDUP('HSZ do groszy'!L23,0)</f>
        <v>3058</v>
      </c>
      <c r="M23" s="643">
        <f>ROUNDUP('HSZ do groszy'!M23,0)</f>
        <v>23480</v>
      </c>
      <c r="N23" s="644">
        <f>ROUNDUP('HSZ do groszy'!N23,0)</f>
        <v>2353</v>
      </c>
      <c r="O23" s="645">
        <f>ROUNDUP('HSZ do groszy'!O23,0)</f>
        <v>23480</v>
      </c>
      <c r="P23" s="646">
        <f>ROUNDUP('HSZ do groszy'!P23,0)</f>
        <v>1649</v>
      </c>
      <c r="Q23" s="643">
        <f>ROUNDUP('HSZ do groszy'!Q23,0)</f>
        <v>23480</v>
      </c>
      <c r="R23" s="644">
        <f>ROUNDUP('HSZ do groszy'!R23,0)</f>
        <v>945</v>
      </c>
      <c r="S23" s="645">
        <f>ROUNDUP('HSZ do groszy'!S23,0)</f>
        <v>17446</v>
      </c>
      <c r="T23" s="646">
        <f>ROUNDUP('HSZ do groszy'!T23,0)</f>
        <v>246</v>
      </c>
      <c r="U23" s="643">
        <f>ROUNDUP('HSZ do groszy'!U23,0)</f>
        <v>0</v>
      </c>
      <c r="V23" s="644">
        <f>ROUNDUP('HSZ do groszy'!V23,0)</f>
        <v>0</v>
      </c>
      <c r="W23" s="645">
        <f>ROUNDUP('HSZ do groszy'!W23,0)</f>
        <v>0</v>
      </c>
      <c r="X23" s="646">
        <f>ROUNDUP('HSZ do groszy'!X23,0)</f>
        <v>0</v>
      </c>
      <c r="Y23" s="643">
        <f>ROUNDUP('HSZ do groszy'!Y23,0)</f>
        <v>0</v>
      </c>
      <c r="Z23" s="644">
        <f>ROUNDUP('HSZ do groszy'!Z23,0)</f>
        <v>0</v>
      </c>
      <c r="AA23" s="645">
        <f>ROUNDUP('HSZ do groszy'!AA23,0)</f>
        <v>0</v>
      </c>
      <c r="AB23" s="646">
        <f>ROUNDUP('HSZ do groszy'!AB23,0)</f>
        <v>0</v>
      </c>
      <c r="AC23" s="643">
        <f>ROUNDUP('HSZ do groszy'!AC23,0)</f>
        <v>0</v>
      </c>
      <c r="AD23" s="644">
        <f>ROUNDUP('HSZ do groszy'!AD23,0)</f>
        <v>0</v>
      </c>
      <c r="AE23" s="645">
        <f>ROUNDUP('HSZ do groszy'!AE23,0)</f>
        <v>0</v>
      </c>
      <c r="AF23" s="644">
        <f>ROUNDUP('HSZ do groszy'!AF23,0)</f>
        <v>0</v>
      </c>
      <c r="AG23" s="645">
        <f>ROUNDUP('HSZ do groszy'!AG23,0)</f>
        <v>0</v>
      </c>
      <c r="AH23" s="647">
        <f>ROUNDUP('HSZ do groszy'!AH23,0)</f>
        <v>0</v>
      </c>
      <c r="AI23" s="435"/>
      <c r="AJ23" s="435"/>
      <c r="AK23" s="648" t="str">
        <f t="shared" si="7"/>
        <v>WFOŚiGW 315/2007/76/OA/no/P</v>
      </c>
      <c r="AL23" s="649">
        <f t="shared" si="7"/>
        <v>222896</v>
      </c>
      <c r="AM23" s="650">
        <f t="shared" si="8"/>
        <v>134846</v>
      </c>
      <c r="AN23" s="651">
        <f t="shared" si="9"/>
        <v>12013</v>
      </c>
      <c r="AO23" s="652">
        <f t="shared" si="10"/>
        <v>146859</v>
      </c>
      <c r="AP23" s="650">
        <f t="shared" si="11"/>
        <v>111366</v>
      </c>
      <c r="AQ23" s="651">
        <f t="shared" si="12"/>
        <v>8251</v>
      </c>
      <c r="AR23" s="652">
        <f t="shared" si="13"/>
        <v>119617</v>
      </c>
      <c r="AS23" s="650">
        <f t="shared" si="14"/>
        <v>87886</v>
      </c>
      <c r="AT23" s="651">
        <f t="shared" si="15"/>
        <v>5193</v>
      </c>
      <c r="AU23" s="652">
        <f t="shared" si="16"/>
        <v>93079</v>
      </c>
      <c r="AV23" s="650">
        <f t="shared" si="17"/>
        <v>64406</v>
      </c>
      <c r="AW23" s="651">
        <f t="shared" si="18"/>
        <v>2840</v>
      </c>
      <c r="AX23" s="652">
        <f t="shared" si="19"/>
        <v>67246</v>
      </c>
      <c r="AY23" s="650">
        <f t="shared" si="20"/>
        <v>40926</v>
      </c>
      <c r="AZ23" s="651">
        <f t="shared" si="21"/>
        <v>1191</v>
      </c>
      <c r="BA23" s="652">
        <f t="shared" si="22"/>
        <v>42117</v>
      </c>
      <c r="BB23" s="650">
        <f t="shared" si="23"/>
        <v>17446</v>
      </c>
      <c r="BC23" s="651">
        <f t="shared" si="24"/>
        <v>246</v>
      </c>
      <c r="BD23" s="652">
        <f t="shared" si="25"/>
        <v>17692</v>
      </c>
      <c r="BE23" s="650">
        <f t="shared" si="26"/>
        <v>0</v>
      </c>
      <c r="BF23" s="651">
        <f t="shared" si="27"/>
        <v>0</v>
      </c>
      <c r="BG23" s="652">
        <f t="shared" si="28"/>
        <v>0</v>
      </c>
      <c r="BH23" s="650">
        <f t="shared" si="29"/>
        <v>0</v>
      </c>
      <c r="BI23" s="651">
        <f t="shared" si="30"/>
        <v>0</v>
      </c>
      <c r="BJ23" s="652">
        <f t="shared" si="31"/>
        <v>0</v>
      </c>
      <c r="BK23" s="650">
        <f t="shared" si="32"/>
        <v>0</v>
      </c>
      <c r="BL23" s="651">
        <f t="shared" si="33"/>
        <v>0</v>
      </c>
      <c r="BM23" s="652">
        <f t="shared" si="34"/>
        <v>0</v>
      </c>
      <c r="BN23" s="650">
        <f t="shared" si="35"/>
        <v>0</v>
      </c>
      <c r="BO23" s="651">
        <f t="shared" si="36"/>
        <v>0</v>
      </c>
      <c r="BP23" s="652">
        <f t="shared" si="37"/>
        <v>0</v>
      </c>
      <c r="BQ23" s="650">
        <f t="shared" si="38"/>
        <v>0</v>
      </c>
      <c r="BR23" s="651">
        <f t="shared" si="39"/>
        <v>0</v>
      </c>
      <c r="BS23" s="652">
        <f t="shared" si="40"/>
        <v>0</v>
      </c>
      <c r="BT23" s="650">
        <f t="shared" si="41"/>
        <v>0</v>
      </c>
      <c r="BU23" s="651">
        <f t="shared" si="42"/>
        <v>0</v>
      </c>
      <c r="BV23" s="652">
        <f t="shared" si="43"/>
        <v>0</v>
      </c>
      <c r="BW23" s="650">
        <f t="shared" si="44"/>
        <v>0</v>
      </c>
      <c r="BX23" s="651">
        <f t="shared" si="45"/>
        <v>0</v>
      </c>
      <c r="BY23" s="652">
        <f t="shared" si="46"/>
        <v>0</v>
      </c>
      <c r="BZ23" s="435"/>
    </row>
    <row r="24" spans="1:78">
      <c r="A24" s="641" t="str">
        <f>'HSZ do groszy'!A24</f>
        <v>WFOŚiGW 1302/2006/76/OA/po/P</v>
      </c>
      <c r="B24" s="642">
        <f>ROUNDUP('HSZ do groszy'!B24,0)</f>
        <v>141744</v>
      </c>
      <c r="C24" s="643">
        <f>ROUNDUP('HSZ do groszy'!C24,0)</f>
        <v>0</v>
      </c>
      <c r="D24" s="644">
        <f>ROUNDUP('HSZ do groszy'!D24,0)</f>
        <v>4253</v>
      </c>
      <c r="E24" s="643">
        <f t="shared" si="5"/>
        <v>141745</v>
      </c>
      <c r="F24" s="644">
        <f t="shared" si="6"/>
        <v>11325</v>
      </c>
      <c r="G24" s="643">
        <f>ROUNDUP('HSZ do groszy'!G24,0)</f>
        <v>0</v>
      </c>
      <c r="H24" s="644">
        <f>ROUNDUP('HSZ do groszy'!H24,0)</f>
        <v>4253</v>
      </c>
      <c r="I24" s="643">
        <f>ROUNDUP('HSZ do groszy'!I24,0)</f>
        <v>0</v>
      </c>
      <c r="J24" s="644">
        <f>ROUNDUP('HSZ do groszy'!J24,0)</f>
        <v>4253</v>
      </c>
      <c r="K24" s="645">
        <f>ROUNDUP('HSZ do groszy'!K24,0)</f>
        <v>140343</v>
      </c>
      <c r="L24" s="646">
        <f>ROUNDUP('HSZ do groszy'!L24,0)</f>
        <v>2809</v>
      </c>
      <c r="M24" s="643">
        <f>ROUNDUP('HSZ do groszy'!M24,0)</f>
        <v>1402</v>
      </c>
      <c r="N24" s="644">
        <f>ROUNDUP('HSZ do groszy'!N24,0)</f>
        <v>10</v>
      </c>
      <c r="O24" s="645">
        <f>ROUNDUP('HSZ do groszy'!O24,0)</f>
        <v>0</v>
      </c>
      <c r="P24" s="646">
        <f>ROUNDUP('HSZ do groszy'!P24,0)</f>
        <v>0</v>
      </c>
      <c r="Q24" s="643">
        <f>ROUNDUP('HSZ do groszy'!Q24,0)</f>
        <v>0</v>
      </c>
      <c r="R24" s="644">
        <f>ROUNDUP('HSZ do groszy'!R24,0)</f>
        <v>0</v>
      </c>
      <c r="S24" s="645">
        <f>ROUNDUP('HSZ do groszy'!S24,0)</f>
        <v>0</v>
      </c>
      <c r="T24" s="646">
        <f>ROUNDUP('HSZ do groszy'!T24,0)</f>
        <v>0</v>
      </c>
      <c r="U24" s="643">
        <f>ROUNDUP('HSZ do groszy'!U24,0)</f>
        <v>0</v>
      </c>
      <c r="V24" s="644">
        <f>ROUNDUP('HSZ do groszy'!V24,0)</f>
        <v>0</v>
      </c>
      <c r="W24" s="645">
        <f>ROUNDUP('HSZ do groszy'!W24,0)</f>
        <v>0</v>
      </c>
      <c r="X24" s="646">
        <f>ROUNDUP('HSZ do groszy'!X24,0)</f>
        <v>0</v>
      </c>
      <c r="Y24" s="643">
        <f>ROUNDUP('HSZ do groszy'!Y24,0)</f>
        <v>0</v>
      </c>
      <c r="Z24" s="644">
        <f>ROUNDUP('HSZ do groszy'!Z24,0)</f>
        <v>0</v>
      </c>
      <c r="AA24" s="645">
        <f>ROUNDUP('HSZ do groszy'!AA24,0)</f>
        <v>0</v>
      </c>
      <c r="AB24" s="646">
        <f>ROUNDUP('HSZ do groszy'!AB24,0)</f>
        <v>0</v>
      </c>
      <c r="AC24" s="643">
        <f>ROUNDUP('HSZ do groszy'!AC24,0)</f>
        <v>0</v>
      </c>
      <c r="AD24" s="644">
        <f>ROUNDUP('HSZ do groszy'!AD24,0)</f>
        <v>0</v>
      </c>
      <c r="AE24" s="645">
        <f>ROUNDUP('HSZ do groszy'!AE24,0)</f>
        <v>0</v>
      </c>
      <c r="AF24" s="644">
        <f>ROUNDUP('HSZ do groszy'!AF24,0)</f>
        <v>0</v>
      </c>
      <c r="AG24" s="645">
        <f>ROUNDUP('HSZ do groszy'!AG24,0)</f>
        <v>0</v>
      </c>
      <c r="AH24" s="647">
        <f>ROUNDUP('HSZ do groszy'!AH24,0)</f>
        <v>0</v>
      </c>
      <c r="AI24" s="435"/>
      <c r="AJ24" s="435"/>
      <c r="AK24" s="648" t="str">
        <f t="shared" si="7"/>
        <v>WFOŚiGW 1302/2006/76/OA/po/P</v>
      </c>
      <c r="AL24" s="649">
        <f t="shared" si="7"/>
        <v>141744</v>
      </c>
      <c r="AM24" s="650">
        <f t="shared" si="8"/>
        <v>141745</v>
      </c>
      <c r="AN24" s="651">
        <f t="shared" si="9"/>
        <v>7072</v>
      </c>
      <c r="AO24" s="652">
        <f t="shared" si="10"/>
        <v>148817</v>
      </c>
      <c r="AP24" s="650">
        <f t="shared" si="11"/>
        <v>141745</v>
      </c>
      <c r="AQ24" s="651">
        <f t="shared" si="12"/>
        <v>2819</v>
      </c>
      <c r="AR24" s="652">
        <f t="shared" si="13"/>
        <v>144564</v>
      </c>
      <c r="AS24" s="650">
        <f t="shared" si="14"/>
        <v>1402</v>
      </c>
      <c r="AT24" s="651">
        <f t="shared" si="15"/>
        <v>10</v>
      </c>
      <c r="AU24" s="652">
        <f t="shared" si="16"/>
        <v>1412</v>
      </c>
      <c r="AV24" s="650">
        <f t="shared" si="17"/>
        <v>0</v>
      </c>
      <c r="AW24" s="651">
        <f t="shared" si="18"/>
        <v>0</v>
      </c>
      <c r="AX24" s="652">
        <f t="shared" si="19"/>
        <v>0</v>
      </c>
      <c r="AY24" s="650">
        <f t="shared" si="20"/>
        <v>0</v>
      </c>
      <c r="AZ24" s="651">
        <f t="shared" si="21"/>
        <v>0</v>
      </c>
      <c r="BA24" s="652">
        <f t="shared" si="22"/>
        <v>0</v>
      </c>
      <c r="BB24" s="650">
        <f t="shared" si="23"/>
        <v>0</v>
      </c>
      <c r="BC24" s="651">
        <f t="shared" si="24"/>
        <v>0</v>
      </c>
      <c r="BD24" s="652">
        <f t="shared" si="25"/>
        <v>0</v>
      </c>
      <c r="BE24" s="650">
        <f t="shared" si="26"/>
        <v>0</v>
      </c>
      <c r="BF24" s="651">
        <f t="shared" si="27"/>
        <v>0</v>
      </c>
      <c r="BG24" s="652">
        <f t="shared" si="28"/>
        <v>0</v>
      </c>
      <c r="BH24" s="650">
        <f t="shared" si="29"/>
        <v>0</v>
      </c>
      <c r="BI24" s="651">
        <f t="shared" si="30"/>
        <v>0</v>
      </c>
      <c r="BJ24" s="652">
        <f t="shared" si="31"/>
        <v>0</v>
      </c>
      <c r="BK24" s="650">
        <f t="shared" si="32"/>
        <v>0</v>
      </c>
      <c r="BL24" s="651">
        <f t="shared" si="33"/>
        <v>0</v>
      </c>
      <c r="BM24" s="652">
        <f t="shared" si="34"/>
        <v>0</v>
      </c>
      <c r="BN24" s="650">
        <f t="shared" si="35"/>
        <v>0</v>
      </c>
      <c r="BO24" s="651">
        <f t="shared" si="36"/>
        <v>0</v>
      </c>
      <c r="BP24" s="652">
        <f t="shared" si="37"/>
        <v>0</v>
      </c>
      <c r="BQ24" s="650">
        <f t="shared" si="38"/>
        <v>0</v>
      </c>
      <c r="BR24" s="651">
        <f t="shared" si="39"/>
        <v>0</v>
      </c>
      <c r="BS24" s="652">
        <f t="shared" si="40"/>
        <v>0</v>
      </c>
      <c r="BT24" s="650">
        <f t="shared" si="41"/>
        <v>0</v>
      </c>
      <c r="BU24" s="651">
        <f t="shared" si="42"/>
        <v>0</v>
      </c>
      <c r="BV24" s="652">
        <f t="shared" si="43"/>
        <v>0</v>
      </c>
      <c r="BW24" s="650">
        <f t="shared" si="44"/>
        <v>0</v>
      </c>
      <c r="BX24" s="651">
        <f t="shared" si="45"/>
        <v>0</v>
      </c>
      <c r="BY24" s="652">
        <f t="shared" si="46"/>
        <v>0</v>
      </c>
      <c r="BZ24" s="435"/>
    </row>
    <row r="25" spans="1:78">
      <c r="A25" s="641" t="str">
        <f>'HSZ do groszy'!A25</f>
        <v xml:space="preserve"> -</v>
      </c>
      <c r="B25" s="654"/>
      <c r="C25" s="643"/>
      <c r="D25" s="644"/>
      <c r="E25" s="643"/>
      <c r="F25" s="644"/>
      <c r="G25" s="643"/>
      <c r="H25" s="644"/>
      <c r="I25" s="643"/>
      <c r="J25" s="644"/>
      <c r="K25" s="645"/>
      <c r="L25" s="646"/>
      <c r="M25" s="643"/>
      <c r="N25" s="644"/>
      <c r="O25" s="645"/>
      <c r="P25" s="646"/>
      <c r="Q25" s="643"/>
      <c r="R25" s="644"/>
      <c r="S25" s="645"/>
      <c r="T25" s="646"/>
      <c r="U25" s="643"/>
      <c r="V25" s="644"/>
      <c r="W25" s="645"/>
      <c r="X25" s="646"/>
      <c r="Y25" s="643"/>
      <c r="Z25" s="644"/>
      <c r="AA25" s="645"/>
      <c r="AB25" s="646"/>
      <c r="AC25" s="643"/>
      <c r="AD25" s="644"/>
      <c r="AE25" s="645"/>
      <c r="AF25" s="644"/>
      <c r="AG25" s="645"/>
      <c r="AH25" s="647"/>
      <c r="AI25" s="435"/>
      <c r="AJ25" s="435"/>
      <c r="AK25" s="648" t="str">
        <f t="shared" si="7"/>
        <v xml:space="preserve"> -</v>
      </c>
      <c r="AL25" s="649">
        <f t="shared" si="7"/>
        <v>0</v>
      </c>
      <c r="AM25" s="650">
        <f t="shared" si="8"/>
        <v>0</v>
      </c>
      <c r="AN25" s="651">
        <f t="shared" si="9"/>
        <v>0</v>
      </c>
      <c r="AO25" s="652">
        <f t="shared" si="10"/>
        <v>0</v>
      </c>
      <c r="AP25" s="650">
        <f t="shared" si="11"/>
        <v>0</v>
      </c>
      <c r="AQ25" s="651">
        <f t="shared" si="12"/>
        <v>0</v>
      </c>
      <c r="AR25" s="652">
        <f t="shared" si="13"/>
        <v>0</v>
      </c>
      <c r="AS25" s="650">
        <f t="shared" si="14"/>
        <v>0</v>
      </c>
      <c r="AT25" s="651">
        <f t="shared" si="15"/>
        <v>0</v>
      </c>
      <c r="AU25" s="652">
        <f t="shared" si="16"/>
        <v>0</v>
      </c>
      <c r="AV25" s="650">
        <f t="shared" si="17"/>
        <v>0</v>
      </c>
      <c r="AW25" s="651">
        <f t="shared" si="18"/>
        <v>0</v>
      </c>
      <c r="AX25" s="652">
        <f t="shared" si="19"/>
        <v>0</v>
      </c>
      <c r="AY25" s="650">
        <f t="shared" si="20"/>
        <v>0</v>
      </c>
      <c r="AZ25" s="651">
        <f t="shared" si="21"/>
        <v>0</v>
      </c>
      <c r="BA25" s="652">
        <f t="shared" si="22"/>
        <v>0</v>
      </c>
      <c r="BB25" s="650">
        <f t="shared" si="23"/>
        <v>0</v>
      </c>
      <c r="BC25" s="651">
        <f t="shared" si="24"/>
        <v>0</v>
      </c>
      <c r="BD25" s="652">
        <f t="shared" si="25"/>
        <v>0</v>
      </c>
      <c r="BE25" s="650">
        <f t="shared" si="26"/>
        <v>0</v>
      </c>
      <c r="BF25" s="651">
        <f t="shared" si="27"/>
        <v>0</v>
      </c>
      <c r="BG25" s="652">
        <f t="shared" si="28"/>
        <v>0</v>
      </c>
      <c r="BH25" s="650">
        <f t="shared" si="29"/>
        <v>0</v>
      </c>
      <c r="BI25" s="651">
        <f t="shared" si="30"/>
        <v>0</v>
      </c>
      <c r="BJ25" s="652">
        <f t="shared" si="31"/>
        <v>0</v>
      </c>
      <c r="BK25" s="650">
        <f t="shared" si="32"/>
        <v>0</v>
      </c>
      <c r="BL25" s="651">
        <f t="shared" si="33"/>
        <v>0</v>
      </c>
      <c r="BM25" s="652">
        <f t="shared" si="34"/>
        <v>0</v>
      </c>
      <c r="BN25" s="650">
        <f t="shared" si="35"/>
        <v>0</v>
      </c>
      <c r="BO25" s="651">
        <f t="shared" si="36"/>
        <v>0</v>
      </c>
      <c r="BP25" s="652">
        <f t="shared" si="37"/>
        <v>0</v>
      </c>
      <c r="BQ25" s="650">
        <f t="shared" si="38"/>
        <v>0</v>
      </c>
      <c r="BR25" s="651">
        <f t="shared" si="39"/>
        <v>0</v>
      </c>
      <c r="BS25" s="652">
        <f t="shared" si="40"/>
        <v>0</v>
      </c>
      <c r="BT25" s="650">
        <f t="shared" si="41"/>
        <v>0</v>
      </c>
      <c r="BU25" s="651">
        <f t="shared" si="42"/>
        <v>0</v>
      </c>
      <c r="BV25" s="652">
        <f t="shared" si="43"/>
        <v>0</v>
      </c>
      <c r="BW25" s="650">
        <f t="shared" si="44"/>
        <v>0</v>
      </c>
      <c r="BX25" s="651">
        <f t="shared" si="45"/>
        <v>0</v>
      </c>
      <c r="BY25" s="652">
        <f t="shared" si="46"/>
        <v>0</v>
      </c>
      <c r="BZ25" s="435"/>
    </row>
    <row r="26" spans="1:78">
      <c r="A26" s="641" t="str">
        <f>'HSZ do groszy'!A26</f>
        <v xml:space="preserve"> -</v>
      </c>
      <c r="B26" s="654"/>
      <c r="C26" s="643"/>
      <c r="D26" s="644"/>
      <c r="E26" s="643"/>
      <c r="F26" s="644"/>
      <c r="G26" s="643"/>
      <c r="H26" s="644"/>
      <c r="I26" s="643"/>
      <c r="J26" s="644"/>
      <c r="K26" s="645"/>
      <c r="L26" s="646"/>
      <c r="M26" s="643"/>
      <c r="N26" s="644"/>
      <c r="O26" s="645"/>
      <c r="P26" s="646"/>
      <c r="Q26" s="643"/>
      <c r="R26" s="644"/>
      <c r="S26" s="645"/>
      <c r="T26" s="646"/>
      <c r="U26" s="643"/>
      <c r="V26" s="644"/>
      <c r="W26" s="645"/>
      <c r="X26" s="646"/>
      <c r="Y26" s="643"/>
      <c r="Z26" s="644"/>
      <c r="AA26" s="645"/>
      <c r="AB26" s="646"/>
      <c r="AC26" s="643"/>
      <c r="AD26" s="644"/>
      <c r="AE26" s="645"/>
      <c r="AF26" s="644"/>
      <c r="AG26" s="645"/>
      <c r="AH26" s="647"/>
      <c r="AI26" s="435"/>
      <c r="AJ26" s="435"/>
      <c r="AK26" s="648" t="str">
        <f t="shared" si="7"/>
        <v xml:space="preserve"> -</v>
      </c>
      <c r="AL26" s="649">
        <f t="shared" si="7"/>
        <v>0</v>
      </c>
      <c r="AM26" s="650">
        <f t="shared" si="8"/>
        <v>0</v>
      </c>
      <c r="AN26" s="651">
        <f t="shared" si="9"/>
        <v>0</v>
      </c>
      <c r="AO26" s="652">
        <f t="shared" si="10"/>
        <v>0</v>
      </c>
      <c r="AP26" s="650">
        <f t="shared" si="11"/>
        <v>0</v>
      </c>
      <c r="AQ26" s="651">
        <f t="shared" si="12"/>
        <v>0</v>
      </c>
      <c r="AR26" s="652">
        <f t="shared" si="13"/>
        <v>0</v>
      </c>
      <c r="AS26" s="650">
        <f t="shared" si="14"/>
        <v>0</v>
      </c>
      <c r="AT26" s="651">
        <f t="shared" si="15"/>
        <v>0</v>
      </c>
      <c r="AU26" s="652">
        <f t="shared" si="16"/>
        <v>0</v>
      </c>
      <c r="AV26" s="650">
        <f t="shared" si="17"/>
        <v>0</v>
      </c>
      <c r="AW26" s="651">
        <f t="shared" si="18"/>
        <v>0</v>
      </c>
      <c r="AX26" s="652">
        <f t="shared" si="19"/>
        <v>0</v>
      </c>
      <c r="AY26" s="650">
        <f t="shared" si="20"/>
        <v>0</v>
      </c>
      <c r="AZ26" s="651">
        <f t="shared" si="21"/>
        <v>0</v>
      </c>
      <c r="BA26" s="652">
        <f t="shared" si="22"/>
        <v>0</v>
      </c>
      <c r="BB26" s="650">
        <f t="shared" si="23"/>
        <v>0</v>
      </c>
      <c r="BC26" s="651">
        <f t="shared" si="24"/>
        <v>0</v>
      </c>
      <c r="BD26" s="652">
        <f t="shared" si="25"/>
        <v>0</v>
      </c>
      <c r="BE26" s="650">
        <f t="shared" si="26"/>
        <v>0</v>
      </c>
      <c r="BF26" s="651">
        <f t="shared" si="27"/>
        <v>0</v>
      </c>
      <c r="BG26" s="652">
        <f t="shared" si="28"/>
        <v>0</v>
      </c>
      <c r="BH26" s="650">
        <f t="shared" si="29"/>
        <v>0</v>
      </c>
      <c r="BI26" s="651">
        <f t="shared" si="30"/>
        <v>0</v>
      </c>
      <c r="BJ26" s="652">
        <f t="shared" si="31"/>
        <v>0</v>
      </c>
      <c r="BK26" s="650">
        <f t="shared" si="32"/>
        <v>0</v>
      </c>
      <c r="BL26" s="651">
        <f t="shared" si="33"/>
        <v>0</v>
      </c>
      <c r="BM26" s="652">
        <f t="shared" si="34"/>
        <v>0</v>
      </c>
      <c r="BN26" s="650">
        <f t="shared" si="35"/>
        <v>0</v>
      </c>
      <c r="BO26" s="651">
        <f t="shared" si="36"/>
        <v>0</v>
      </c>
      <c r="BP26" s="652">
        <f t="shared" si="37"/>
        <v>0</v>
      </c>
      <c r="BQ26" s="650">
        <f t="shared" si="38"/>
        <v>0</v>
      </c>
      <c r="BR26" s="651">
        <f t="shared" si="39"/>
        <v>0</v>
      </c>
      <c r="BS26" s="652">
        <f t="shared" si="40"/>
        <v>0</v>
      </c>
      <c r="BT26" s="650">
        <f t="shared" si="41"/>
        <v>0</v>
      </c>
      <c r="BU26" s="651">
        <f t="shared" si="42"/>
        <v>0</v>
      </c>
      <c r="BV26" s="652">
        <f t="shared" si="43"/>
        <v>0</v>
      </c>
      <c r="BW26" s="650">
        <f t="shared" si="44"/>
        <v>0</v>
      </c>
      <c r="BX26" s="651">
        <f t="shared" si="45"/>
        <v>0</v>
      </c>
      <c r="BY26" s="652">
        <f t="shared" si="46"/>
        <v>0</v>
      </c>
      <c r="BZ26" s="435"/>
    </row>
    <row r="27" spans="1:78">
      <c r="A27" s="641" t="str">
        <f>'HSZ do groszy'!A27</f>
        <v>pożyczka 2013</v>
      </c>
      <c r="B27" s="642">
        <f>ROUNDUP('HSZ do groszy'!B27,0)</f>
        <v>0</v>
      </c>
      <c r="C27" s="643">
        <f>ROUNDUP('HSZ do groszy'!C27,0)</f>
        <v>0</v>
      </c>
      <c r="D27" s="644">
        <f>ROUNDUP('HSZ do groszy'!D27,0)</f>
        <v>0</v>
      </c>
      <c r="E27" s="643">
        <f t="shared" ref="E27:E29" si="47">G27+I27+K27+M27+O27+Q27+S27+U27+W27+Y27+AA27+AC27+AE27+AG27</f>
        <v>2285320</v>
      </c>
      <c r="F27" s="644">
        <f t="shared" ref="F27:F29" si="48">H27+J27+L27+N27+P27+R27+T27+V27+X27+Z27+AB27+AD27+AF27+AH27</f>
        <v>958800</v>
      </c>
      <c r="G27" s="643">
        <f>ROUNDUP('HSZ do groszy'!G27,0)</f>
        <v>0</v>
      </c>
      <c r="H27" s="644">
        <f>ROUNDUP('HSZ do groszy'!H27,0)</f>
        <v>0</v>
      </c>
      <c r="I27" s="643">
        <f>ROUNDUP('HSZ do groszy'!I27,0)</f>
        <v>0</v>
      </c>
      <c r="J27" s="644">
        <f>ROUNDUP('HSZ do groszy'!J27,0)</f>
        <v>0</v>
      </c>
      <c r="K27" s="645">
        <f>ROUNDUP('HSZ do groszy'!K27,0)</f>
        <v>228532</v>
      </c>
      <c r="L27" s="646">
        <f>ROUNDUP('HSZ do groszy'!L27,0)</f>
        <v>175534</v>
      </c>
      <c r="M27" s="643">
        <f>ROUNDUP('HSZ do groszy'!M27,0)</f>
        <v>228532</v>
      </c>
      <c r="N27" s="644">
        <f>ROUNDUP('HSZ do groszy'!N27,0)</f>
        <v>157833</v>
      </c>
      <c r="O27" s="645">
        <f>ROUNDUP('HSZ do groszy'!O27,0)</f>
        <v>228532</v>
      </c>
      <c r="P27" s="646">
        <f>ROUNDUP('HSZ do groszy'!P27,0)</f>
        <v>140132</v>
      </c>
      <c r="Q27" s="643">
        <f>ROUNDUP('HSZ do groszy'!Q27,0)</f>
        <v>228532</v>
      </c>
      <c r="R27" s="644">
        <f>ROUNDUP('HSZ do groszy'!R27,0)</f>
        <v>122431</v>
      </c>
      <c r="S27" s="645">
        <f>ROUNDUP('HSZ do groszy'!S27,0)</f>
        <v>228532</v>
      </c>
      <c r="T27" s="646">
        <f>ROUNDUP('HSZ do groszy'!T27,0)</f>
        <v>104730</v>
      </c>
      <c r="U27" s="643">
        <f>ROUNDUP('HSZ do groszy'!U27,0)</f>
        <v>228532</v>
      </c>
      <c r="V27" s="644">
        <f>ROUNDUP('HSZ do groszy'!V27,0)</f>
        <v>87030</v>
      </c>
      <c r="W27" s="645">
        <f>ROUNDUP('HSZ do groszy'!W27,0)</f>
        <v>228532</v>
      </c>
      <c r="X27" s="646">
        <f>ROUNDUP('HSZ do groszy'!X27,0)</f>
        <v>69329</v>
      </c>
      <c r="Y27" s="643">
        <f>ROUNDUP('HSZ do groszy'!Y27,0)</f>
        <v>228532</v>
      </c>
      <c r="Z27" s="644">
        <f>ROUNDUP('HSZ do groszy'!Z27,0)</f>
        <v>51628</v>
      </c>
      <c r="AA27" s="645">
        <f>ROUNDUP('HSZ do groszy'!AA27,0)</f>
        <v>228532</v>
      </c>
      <c r="AB27" s="646">
        <f>ROUNDUP('HSZ do groszy'!AB27,0)</f>
        <v>33927</v>
      </c>
      <c r="AC27" s="643">
        <f>ROUNDUP('HSZ do groszy'!AC27,0)</f>
        <v>228532</v>
      </c>
      <c r="AD27" s="644">
        <f>ROUNDUP('HSZ do groszy'!AD27,0)</f>
        <v>16226</v>
      </c>
      <c r="AE27" s="645">
        <f>ROUNDUP('HSZ do groszy'!AE27,0)</f>
        <v>0</v>
      </c>
      <c r="AF27" s="644">
        <f>ROUNDUP('HSZ do groszy'!AF27,0)</f>
        <v>0</v>
      </c>
      <c r="AG27" s="645">
        <f>ROUNDUP('HSZ do groszy'!AG27,0)</f>
        <v>0</v>
      </c>
      <c r="AH27" s="647">
        <f>ROUNDUP('HSZ do groszy'!AH27,0)</f>
        <v>0</v>
      </c>
      <c r="AI27" s="435"/>
      <c r="AJ27" s="435"/>
      <c r="AK27" s="648"/>
      <c r="AL27" s="649"/>
      <c r="AM27" s="650"/>
      <c r="AN27" s="651"/>
      <c r="AO27" s="652"/>
      <c r="AP27" s="650">
        <f>SUM($K27,$M27,$O27,$Q27,$S27,$U27,$W27,$Y27,$AA27,$AC27,$AE27,$AG27)</f>
        <v>2285320</v>
      </c>
      <c r="AQ27" s="651">
        <f>SUM($L27,$N27,$P27,$R27,$T27,$V27,$X27,$Z27,$AB27,$AD27,$AF27,$AH27)</f>
        <v>958800</v>
      </c>
      <c r="AR27" s="652">
        <f>SUM(AP27,AQ27)</f>
        <v>3244120</v>
      </c>
      <c r="AS27" s="650">
        <f>SUM($M27,$O27,$Q27,$S27,$U27,$W27,$Y27,$AA27,$AC27,$AE27,$AG27)</f>
        <v>2056788</v>
      </c>
      <c r="AT27" s="651">
        <f>SUM($N27,$P27,$R27,$T27,$V27,$X27,$Z27,$AB27,$AD27,$AF27,$AH27)</f>
        <v>783266</v>
      </c>
      <c r="AU27" s="652">
        <f>SUM(AS27,AT27)</f>
        <v>2840054</v>
      </c>
      <c r="AV27" s="650">
        <f t="shared" si="17"/>
        <v>1828256</v>
      </c>
      <c r="AW27" s="651">
        <f t="shared" si="18"/>
        <v>625433</v>
      </c>
      <c r="AX27" s="652">
        <f>SUM(AV27,AW27)</f>
        <v>2453689</v>
      </c>
      <c r="AY27" s="650">
        <f t="shared" si="20"/>
        <v>1599724</v>
      </c>
      <c r="AZ27" s="651">
        <f t="shared" si="21"/>
        <v>485301</v>
      </c>
      <c r="BA27" s="652">
        <f>SUM(AY27,AZ27)</f>
        <v>2085025</v>
      </c>
      <c r="BB27" s="650">
        <f t="shared" si="23"/>
        <v>1371192</v>
      </c>
      <c r="BC27" s="651">
        <f t="shared" si="24"/>
        <v>362870</v>
      </c>
      <c r="BD27" s="652">
        <f t="shared" si="25"/>
        <v>1734062</v>
      </c>
      <c r="BE27" s="650">
        <f t="shared" si="26"/>
        <v>1142660</v>
      </c>
      <c r="BF27" s="651">
        <f t="shared" si="27"/>
        <v>258140</v>
      </c>
      <c r="BG27" s="652">
        <f t="shared" si="28"/>
        <v>1400800</v>
      </c>
      <c r="BH27" s="650">
        <f t="shared" si="29"/>
        <v>914128</v>
      </c>
      <c r="BI27" s="651">
        <f t="shared" si="30"/>
        <v>171110</v>
      </c>
      <c r="BJ27" s="652">
        <f t="shared" si="31"/>
        <v>1085238</v>
      </c>
      <c r="BK27" s="650">
        <f t="shared" si="32"/>
        <v>685596</v>
      </c>
      <c r="BL27" s="651">
        <f t="shared" si="33"/>
        <v>101781</v>
      </c>
      <c r="BM27" s="652">
        <f t="shared" si="34"/>
        <v>787377</v>
      </c>
      <c r="BN27" s="650">
        <f t="shared" si="35"/>
        <v>457064</v>
      </c>
      <c r="BO27" s="651">
        <f t="shared" si="36"/>
        <v>50153</v>
      </c>
      <c r="BP27" s="652">
        <f t="shared" si="37"/>
        <v>507217</v>
      </c>
      <c r="BQ27" s="650">
        <f t="shared" si="38"/>
        <v>228532</v>
      </c>
      <c r="BR27" s="651">
        <f t="shared" si="39"/>
        <v>16226</v>
      </c>
      <c r="BS27" s="652">
        <f t="shared" si="40"/>
        <v>244758</v>
      </c>
      <c r="BT27" s="650">
        <f t="shared" si="41"/>
        <v>0</v>
      </c>
      <c r="BU27" s="651">
        <f t="shared" si="42"/>
        <v>0</v>
      </c>
      <c r="BV27" s="652">
        <f t="shared" si="43"/>
        <v>0</v>
      </c>
      <c r="BW27" s="650">
        <f t="shared" si="44"/>
        <v>0</v>
      </c>
      <c r="BX27" s="651">
        <f t="shared" si="45"/>
        <v>0</v>
      </c>
      <c r="BY27" s="652">
        <f t="shared" si="46"/>
        <v>0</v>
      </c>
      <c r="BZ27" s="435"/>
    </row>
    <row r="28" spans="1:78">
      <c r="A28" s="641" t="str">
        <f>'HSZ do groszy'!A28</f>
        <v>pożyczka 2014</v>
      </c>
      <c r="B28" s="642">
        <f>ROUNDUP('HSZ do groszy'!B28,0)</f>
        <v>0</v>
      </c>
      <c r="C28" s="643">
        <f>ROUNDUP('HSZ do groszy'!C28,0)</f>
        <v>0</v>
      </c>
      <c r="D28" s="644">
        <f>ROUNDUP('HSZ do groszy'!D28,0)</f>
        <v>0</v>
      </c>
      <c r="E28" s="643">
        <f t="shared" si="47"/>
        <v>3379960</v>
      </c>
      <c r="F28" s="644">
        <f t="shared" si="48"/>
        <v>1418051</v>
      </c>
      <c r="G28" s="643">
        <f>ROUNDUP('HSZ do groszy'!G28,0)</f>
        <v>0</v>
      </c>
      <c r="H28" s="644">
        <f>ROUNDUP('HSZ do groszy'!H28,0)</f>
        <v>0</v>
      </c>
      <c r="I28" s="643">
        <f>ROUNDUP('HSZ do groszy'!I28,0)</f>
        <v>0</v>
      </c>
      <c r="J28" s="644">
        <f>ROUNDUP('HSZ do groszy'!J28,0)</f>
        <v>0</v>
      </c>
      <c r="K28" s="645">
        <f>ROUNDUP('HSZ do groszy'!K28,0)</f>
        <v>0</v>
      </c>
      <c r="L28" s="646">
        <f>ROUNDUP('HSZ do groszy'!L28,0)</f>
        <v>0</v>
      </c>
      <c r="M28" s="643">
        <f>ROUNDUP('HSZ do groszy'!M28,0)</f>
        <v>337996</v>
      </c>
      <c r="N28" s="644">
        <f>ROUNDUP('HSZ do groszy'!N28,0)</f>
        <v>259612</v>
      </c>
      <c r="O28" s="645">
        <f>ROUNDUP('HSZ do groszy'!O28,0)</f>
        <v>337996</v>
      </c>
      <c r="P28" s="646">
        <f>ROUNDUP('HSZ do groszy'!P28,0)</f>
        <v>233433</v>
      </c>
      <c r="Q28" s="643">
        <f>ROUNDUP('HSZ do groszy'!Q28,0)</f>
        <v>337996</v>
      </c>
      <c r="R28" s="644">
        <f>ROUNDUP('HSZ do groszy'!R28,0)</f>
        <v>207253</v>
      </c>
      <c r="S28" s="645">
        <f>ROUNDUP('HSZ do groszy'!S28,0)</f>
        <v>337996</v>
      </c>
      <c r="T28" s="646">
        <f>ROUNDUP('HSZ do groszy'!T28,0)</f>
        <v>181074</v>
      </c>
      <c r="U28" s="643">
        <f>ROUNDUP('HSZ do groszy'!U28,0)</f>
        <v>337996</v>
      </c>
      <c r="V28" s="644">
        <f>ROUNDUP('HSZ do groszy'!V28,0)</f>
        <v>154895</v>
      </c>
      <c r="W28" s="645">
        <f>ROUNDUP('HSZ do groszy'!W28,0)</f>
        <v>337996</v>
      </c>
      <c r="X28" s="646">
        <f>ROUNDUP('HSZ do groszy'!X28,0)</f>
        <v>128715</v>
      </c>
      <c r="Y28" s="643">
        <f>ROUNDUP('HSZ do groszy'!Y28,0)</f>
        <v>337996</v>
      </c>
      <c r="Z28" s="644">
        <f>ROUNDUP('HSZ do groszy'!Z28,0)</f>
        <v>102536</v>
      </c>
      <c r="AA28" s="645">
        <f>ROUNDUP('HSZ do groszy'!AA28,0)</f>
        <v>337996</v>
      </c>
      <c r="AB28" s="646">
        <f>ROUNDUP('HSZ do groszy'!AB28,0)</f>
        <v>76357</v>
      </c>
      <c r="AC28" s="643">
        <f>ROUNDUP('HSZ do groszy'!AC28,0)</f>
        <v>337996</v>
      </c>
      <c r="AD28" s="644">
        <f>ROUNDUP('HSZ do groszy'!AD28,0)</f>
        <v>50178</v>
      </c>
      <c r="AE28" s="645">
        <f>ROUNDUP('HSZ do groszy'!AE28,0)</f>
        <v>337996</v>
      </c>
      <c r="AF28" s="644">
        <f>ROUNDUP('HSZ do groszy'!AF28,0)</f>
        <v>23998</v>
      </c>
      <c r="AG28" s="645">
        <f>ROUNDUP('HSZ do groszy'!AG28,0)</f>
        <v>0</v>
      </c>
      <c r="AH28" s="647">
        <f>ROUNDUP('HSZ do groszy'!AH28,0)</f>
        <v>0</v>
      </c>
      <c r="AI28" s="435"/>
      <c r="AJ28" s="435"/>
      <c r="AK28" s="648"/>
      <c r="AL28" s="649"/>
      <c r="AM28" s="650"/>
      <c r="AN28" s="651"/>
      <c r="AO28" s="652"/>
      <c r="AP28" s="650"/>
      <c r="AQ28" s="651"/>
      <c r="AR28" s="652"/>
      <c r="AS28" s="650">
        <f>SUM($M28,$O28,$Q28,$S28,$U28,$W28,$Y28,$AA28,$AC28,$AE28,$AG28)</f>
        <v>3379960</v>
      </c>
      <c r="AT28" s="651">
        <f>SUM($N28,$P28,$R28,$T28,$V28,$X28,$Z28,$AB28,$AD28,$AF28,$AH28)</f>
        <v>1418051</v>
      </c>
      <c r="AU28" s="652">
        <f>SUM(AS28,AT28)</f>
        <v>4798011</v>
      </c>
      <c r="AV28" s="650">
        <f t="shared" si="17"/>
        <v>3041964</v>
      </c>
      <c r="AW28" s="651">
        <f t="shared" si="18"/>
        <v>1158439</v>
      </c>
      <c r="AX28" s="652">
        <f>SUM(AV28,AW28)</f>
        <v>4200403</v>
      </c>
      <c r="AY28" s="650">
        <f t="shared" si="20"/>
        <v>2703968</v>
      </c>
      <c r="AZ28" s="651">
        <f t="shared" si="21"/>
        <v>925006</v>
      </c>
      <c r="BA28" s="652">
        <f>SUM(AY28,AZ28)</f>
        <v>3628974</v>
      </c>
      <c r="BB28" s="650">
        <f t="shared" si="23"/>
        <v>2365972</v>
      </c>
      <c r="BC28" s="651">
        <f t="shared" si="24"/>
        <v>717753</v>
      </c>
      <c r="BD28" s="652">
        <f t="shared" si="25"/>
        <v>3083725</v>
      </c>
      <c r="BE28" s="650">
        <f t="shared" si="26"/>
        <v>2027976</v>
      </c>
      <c r="BF28" s="651">
        <f t="shared" si="27"/>
        <v>536679</v>
      </c>
      <c r="BG28" s="652">
        <f t="shared" si="28"/>
        <v>2564655</v>
      </c>
      <c r="BH28" s="650">
        <f t="shared" si="29"/>
        <v>1689980</v>
      </c>
      <c r="BI28" s="651">
        <f t="shared" si="30"/>
        <v>381784</v>
      </c>
      <c r="BJ28" s="652">
        <f t="shared" si="31"/>
        <v>2071764</v>
      </c>
      <c r="BK28" s="650">
        <f t="shared" si="32"/>
        <v>1351984</v>
      </c>
      <c r="BL28" s="651">
        <f t="shared" si="33"/>
        <v>253069</v>
      </c>
      <c r="BM28" s="652">
        <f t="shared" si="34"/>
        <v>1605053</v>
      </c>
      <c r="BN28" s="650">
        <f t="shared" si="35"/>
        <v>1013988</v>
      </c>
      <c r="BO28" s="651">
        <f t="shared" si="36"/>
        <v>150533</v>
      </c>
      <c r="BP28" s="652">
        <f t="shared" si="37"/>
        <v>1164521</v>
      </c>
      <c r="BQ28" s="650">
        <f t="shared" si="38"/>
        <v>675992</v>
      </c>
      <c r="BR28" s="651">
        <f t="shared" si="39"/>
        <v>74176</v>
      </c>
      <c r="BS28" s="652">
        <f t="shared" si="40"/>
        <v>750168</v>
      </c>
      <c r="BT28" s="650">
        <f t="shared" si="41"/>
        <v>337996</v>
      </c>
      <c r="BU28" s="651">
        <f t="shared" si="42"/>
        <v>23998</v>
      </c>
      <c r="BV28" s="652">
        <f t="shared" si="43"/>
        <v>361994</v>
      </c>
      <c r="BW28" s="650">
        <f t="shared" si="44"/>
        <v>0</v>
      </c>
      <c r="BX28" s="651">
        <f t="shared" si="45"/>
        <v>0</v>
      </c>
      <c r="BY28" s="652">
        <f t="shared" si="46"/>
        <v>0</v>
      </c>
      <c r="BZ28" s="435"/>
    </row>
    <row r="29" spans="1:78">
      <c r="A29" s="641" t="str">
        <f>'HSZ do groszy'!A29</f>
        <v>pożyczka 2015</v>
      </c>
      <c r="B29" s="642">
        <f>ROUNDUP('HSZ do groszy'!B29,0)</f>
        <v>0</v>
      </c>
      <c r="C29" s="643">
        <f>ROUNDUP('HSZ do groszy'!C29,0)</f>
        <v>0</v>
      </c>
      <c r="D29" s="644">
        <f>ROUNDUP('HSZ do groszy'!D29,0)</f>
        <v>0</v>
      </c>
      <c r="E29" s="643">
        <f t="shared" si="47"/>
        <v>545530</v>
      </c>
      <c r="F29" s="644">
        <f t="shared" si="48"/>
        <v>228877</v>
      </c>
      <c r="G29" s="643">
        <f>ROUNDUP('HSZ do groszy'!G29,0)</f>
        <v>0</v>
      </c>
      <c r="H29" s="644">
        <f>ROUNDUP('HSZ do groszy'!H29,0)</f>
        <v>0</v>
      </c>
      <c r="I29" s="643">
        <f>ROUNDUP('HSZ do groszy'!I29,0)</f>
        <v>0</v>
      </c>
      <c r="J29" s="644">
        <f>ROUNDUP('HSZ do groszy'!J29,0)</f>
        <v>0</v>
      </c>
      <c r="K29" s="645">
        <f>ROUNDUP('HSZ do groszy'!K29,0)</f>
        <v>0</v>
      </c>
      <c r="L29" s="646">
        <f>ROUNDUP('HSZ do groszy'!L29,0)</f>
        <v>0</v>
      </c>
      <c r="M29" s="643">
        <f>ROUNDUP('HSZ do groszy'!M29,0)</f>
        <v>0</v>
      </c>
      <c r="N29" s="644">
        <f>ROUNDUP('HSZ do groszy'!N29,0)</f>
        <v>0</v>
      </c>
      <c r="O29" s="645">
        <f>ROUNDUP('HSZ do groszy'!O29,0)</f>
        <v>54553</v>
      </c>
      <c r="P29" s="646">
        <f>ROUNDUP('HSZ do groszy'!P29,0)</f>
        <v>41902</v>
      </c>
      <c r="Q29" s="643">
        <f>ROUNDUP('HSZ do groszy'!Q29,0)</f>
        <v>54553</v>
      </c>
      <c r="R29" s="644">
        <f>ROUNDUP('HSZ do groszy'!R29,0)</f>
        <v>37676</v>
      </c>
      <c r="S29" s="645">
        <f>ROUNDUP('HSZ do groszy'!S29,0)</f>
        <v>54553</v>
      </c>
      <c r="T29" s="646">
        <f>ROUNDUP('HSZ do groszy'!T29,0)</f>
        <v>33451</v>
      </c>
      <c r="U29" s="643">
        <f>ROUNDUP('HSZ do groszy'!U29,0)</f>
        <v>54553</v>
      </c>
      <c r="V29" s="644">
        <f>ROUNDUP('HSZ do groszy'!V29,0)</f>
        <v>29226</v>
      </c>
      <c r="W29" s="645">
        <f>ROUNDUP('HSZ do groszy'!W29,0)</f>
        <v>54553</v>
      </c>
      <c r="X29" s="646">
        <f>ROUNDUP('HSZ do groszy'!X29,0)</f>
        <v>25000</v>
      </c>
      <c r="Y29" s="643">
        <f>ROUNDUP('HSZ do groszy'!Y29,0)</f>
        <v>54553</v>
      </c>
      <c r="Z29" s="644">
        <f>ROUNDUP('HSZ do groszy'!Z29,0)</f>
        <v>20775</v>
      </c>
      <c r="AA29" s="645">
        <f>ROUNDUP('HSZ do groszy'!AA29,0)</f>
        <v>54553</v>
      </c>
      <c r="AB29" s="646">
        <f>ROUNDUP('HSZ do groszy'!AB29,0)</f>
        <v>16550</v>
      </c>
      <c r="AC29" s="643">
        <f>ROUNDUP('HSZ do groszy'!AC29,0)</f>
        <v>54553</v>
      </c>
      <c r="AD29" s="644">
        <f>ROUNDUP('HSZ do groszy'!AD29,0)</f>
        <v>12324</v>
      </c>
      <c r="AE29" s="645">
        <f>ROUNDUP('HSZ do groszy'!AE29,0)</f>
        <v>54553</v>
      </c>
      <c r="AF29" s="644">
        <f>ROUNDUP('HSZ do groszy'!AF29,0)</f>
        <v>8099</v>
      </c>
      <c r="AG29" s="645">
        <f>ROUNDUP('HSZ do groszy'!AG29,0)</f>
        <v>54553</v>
      </c>
      <c r="AH29" s="647">
        <f>ROUNDUP('HSZ do groszy'!AH29,0)</f>
        <v>3874</v>
      </c>
      <c r="AI29" s="435"/>
      <c r="AJ29" s="435"/>
      <c r="AK29" s="648" t="str">
        <f t="shared" si="7"/>
        <v>pożyczka 2015</v>
      </c>
      <c r="AL29" s="649">
        <f t="shared" si="7"/>
        <v>0</v>
      </c>
      <c r="AM29" s="650"/>
      <c r="AN29" s="651"/>
      <c r="AO29" s="652"/>
      <c r="AP29" s="650"/>
      <c r="AQ29" s="651"/>
      <c r="AR29" s="652"/>
      <c r="AS29" s="650"/>
      <c r="AT29" s="651"/>
      <c r="AU29" s="652"/>
      <c r="AV29" s="650">
        <f t="shared" si="17"/>
        <v>545530</v>
      </c>
      <c r="AW29" s="651">
        <f t="shared" si="18"/>
        <v>228877</v>
      </c>
      <c r="AX29" s="652">
        <f>SUM(AV29,AW29)</f>
        <v>774407</v>
      </c>
      <c r="AY29" s="650">
        <f t="shared" si="20"/>
        <v>490977</v>
      </c>
      <c r="AZ29" s="651">
        <f t="shared" si="21"/>
        <v>186975</v>
      </c>
      <c r="BA29" s="652">
        <f>SUM(AY29,AZ29)</f>
        <v>677952</v>
      </c>
      <c r="BB29" s="650">
        <f t="shared" si="23"/>
        <v>436424</v>
      </c>
      <c r="BC29" s="651">
        <f t="shared" si="24"/>
        <v>149299</v>
      </c>
      <c r="BD29" s="652">
        <f t="shared" si="25"/>
        <v>585723</v>
      </c>
      <c r="BE29" s="650">
        <f t="shared" si="26"/>
        <v>381871</v>
      </c>
      <c r="BF29" s="651">
        <f t="shared" si="27"/>
        <v>115848</v>
      </c>
      <c r="BG29" s="652">
        <f t="shared" si="28"/>
        <v>497719</v>
      </c>
      <c r="BH29" s="650">
        <f t="shared" si="29"/>
        <v>327318</v>
      </c>
      <c r="BI29" s="651">
        <f t="shared" si="30"/>
        <v>86622</v>
      </c>
      <c r="BJ29" s="652">
        <f t="shared" si="31"/>
        <v>413940</v>
      </c>
      <c r="BK29" s="650">
        <f t="shared" si="32"/>
        <v>272765</v>
      </c>
      <c r="BL29" s="651">
        <f t="shared" si="33"/>
        <v>61622</v>
      </c>
      <c r="BM29" s="652">
        <f t="shared" si="34"/>
        <v>334387</v>
      </c>
      <c r="BN29" s="650">
        <f t="shared" si="35"/>
        <v>218212</v>
      </c>
      <c r="BO29" s="651">
        <f t="shared" si="36"/>
        <v>40847</v>
      </c>
      <c r="BP29" s="652">
        <f t="shared" si="37"/>
        <v>259059</v>
      </c>
      <c r="BQ29" s="650">
        <f t="shared" si="38"/>
        <v>163659</v>
      </c>
      <c r="BR29" s="651">
        <f t="shared" si="39"/>
        <v>24297</v>
      </c>
      <c r="BS29" s="652">
        <f t="shared" si="40"/>
        <v>187956</v>
      </c>
      <c r="BT29" s="650">
        <f t="shared" si="41"/>
        <v>109106</v>
      </c>
      <c r="BU29" s="651">
        <f t="shared" si="42"/>
        <v>11973</v>
      </c>
      <c r="BV29" s="652">
        <f t="shared" si="43"/>
        <v>121079</v>
      </c>
      <c r="BW29" s="650">
        <f t="shared" si="44"/>
        <v>54553</v>
      </c>
      <c r="BX29" s="651">
        <f t="shared" si="45"/>
        <v>3874</v>
      </c>
      <c r="BY29" s="652">
        <f t="shared" si="46"/>
        <v>58427</v>
      </c>
      <c r="BZ29" s="435"/>
    </row>
    <row r="30" spans="1:78" ht="13.5" thickBot="1">
      <c r="A30" s="655" t="s">
        <v>306</v>
      </c>
      <c r="B30" s="656">
        <f t="shared" ref="B30:AD30" si="49">SUM(B14:B29)</f>
        <v>5721941</v>
      </c>
      <c r="C30" s="623">
        <f t="shared" si="49"/>
        <v>670898</v>
      </c>
      <c r="D30" s="624">
        <f t="shared" si="49"/>
        <v>114815</v>
      </c>
      <c r="E30" s="623">
        <f t="shared" si="49"/>
        <v>9120638</v>
      </c>
      <c r="F30" s="624">
        <f t="shared" si="49"/>
        <v>2823083</v>
      </c>
      <c r="G30" s="623">
        <f t="shared" si="49"/>
        <v>698867</v>
      </c>
      <c r="H30" s="624">
        <f t="shared" si="49"/>
        <v>76571</v>
      </c>
      <c r="I30" s="623">
        <f t="shared" si="49"/>
        <v>660865</v>
      </c>
      <c r="J30" s="624">
        <f t="shared" si="49"/>
        <v>57577</v>
      </c>
      <c r="K30" s="625">
        <f t="shared" si="49"/>
        <v>829928</v>
      </c>
      <c r="L30" s="626">
        <f t="shared" si="49"/>
        <v>214589</v>
      </c>
      <c r="M30" s="623">
        <f t="shared" si="49"/>
        <v>1012100</v>
      </c>
      <c r="N30" s="624">
        <f t="shared" si="49"/>
        <v>440274</v>
      </c>
      <c r="O30" s="625">
        <f t="shared" si="49"/>
        <v>818549</v>
      </c>
      <c r="P30" s="626">
        <f t="shared" si="49"/>
        <v>427748</v>
      </c>
      <c r="Q30" s="623">
        <f t="shared" si="49"/>
        <v>789237</v>
      </c>
      <c r="R30" s="624">
        <f t="shared" si="49"/>
        <v>374067</v>
      </c>
      <c r="S30" s="625">
        <f t="shared" si="49"/>
        <v>738242</v>
      </c>
      <c r="T30" s="626">
        <f t="shared" si="49"/>
        <v>321539</v>
      </c>
      <c r="U30" s="623">
        <f t="shared" si="49"/>
        <v>641424</v>
      </c>
      <c r="V30" s="624">
        <f t="shared" si="49"/>
        <v>271202</v>
      </c>
      <c r="W30" s="625">
        <f t="shared" si="49"/>
        <v>621081</v>
      </c>
      <c r="X30" s="626">
        <f t="shared" si="49"/>
        <v>223044</v>
      </c>
      <c r="Y30" s="623">
        <f t="shared" si="49"/>
        <v>621081</v>
      </c>
      <c r="Z30" s="624">
        <f t="shared" si="49"/>
        <v>174939</v>
      </c>
      <c r="AA30" s="625">
        <f t="shared" si="49"/>
        <v>621081</v>
      </c>
      <c r="AB30" s="626">
        <f t="shared" si="49"/>
        <v>126834</v>
      </c>
      <c r="AC30" s="623">
        <f t="shared" si="49"/>
        <v>621081</v>
      </c>
      <c r="AD30" s="624">
        <f t="shared" si="49"/>
        <v>78728</v>
      </c>
      <c r="AE30" s="625">
        <f>SUM(AE14:AE29)</f>
        <v>392549</v>
      </c>
      <c r="AF30" s="624">
        <f>SUM(AF14:AF29)</f>
        <v>32097</v>
      </c>
      <c r="AG30" s="625">
        <f>SUM(AG14:AG29)</f>
        <v>54553</v>
      </c>
      <c r="AH30" s="627">
        <f>SUM(AH14:AH29)</f>
        <v>3874</v>
      </c>
      <c r="AI30" s="435"/>
      <c r="AJ30" s="435"/>
      <c r="AK30" s="628" t="s">
        <v>306</v>
      </c>
      <c r="AL30" s="657">
        <f>SUM(AL14:AL29)</f>
        <v>5721941</v>
      </c>
      <c r="AM30" s="630">
        <f>SUM(AM14:AM29)</f>
        <v>2210961</v>
      </c>
      <c r="AN30" s="631">
        <f>SUM(AN14:AN29)</f>
        <v>140784</v>
      </c>
      <c r="AO30" s="658">
        <f>SUM(AM30,AN30)</f>
        <v>2351745</v>
      </c>
      <c r="AP30" s="630">
        <f>SUM(AP14:AP29)</f>
        <v>3835416</v>
      </c>
      <c r="AQ30" s="631">
        <f>SUM(AQ14:AQ29)</f>
        <v>1042007</v>
      </c>
      <c r="AR30" s="658">
        <f>SUM(AR14:AR17)</f>
        <v>747291</v>
      </c>
      <c r="AS30" s="630">
        <f>SUM(AS14:AS29)</f>
        <v>6385448</v>
      </c>
      <c r="AT30" s="631">
        <f>SUM(AT14:AT29)</f>
        <v>2245469</v>
      </c>
      <c r="AU30" s="658">
        <f>SUM(AS30,AT30)</f>
        <v>8630917</v>
      </c>
      <c r="AV30" s="630">
        <f>SUM(AV14:AV29)</f>
        <v>5918878</v>
      </c>
      <c r="AW30" s="631">
        <f>SUM(AW14:AW29)</f>
        <v>2034072</v>
      </c>
      <c r="AX30" s="658">
        <f>SUM(AV30:AW30)</f>
        <v>7952950</v>
      </c>
      <c r="AY30" s="630">
        <f t="shared" ref="AY30:BF30" si="50">SUM(AY14:AY29)</f>
        <v>5100329</v>
      </c>
      <c r="AZ30" s="631">
        <f t="shared" si="50"/>
        <v>1606324</v>
      </c>
      <c r="BA30" s="658">
        <f t="shared" si="50"/>
        <v>6706653</v>
      </c>
      <c r="BB30" s="630">
        <f t="shared" si="50"/>
        <v>4311092</v>
      </c>
      <c r="BC30" s="631">
        <f t="shared" si="50"/>
        <v>1232257</v>
      </c>
      <c r="BD30" s="658">
        <f t="shared" si="50"/>
        <v>5543349</v>
      </c>
      <c r="BE30" s="630">
        <f t="shared" si="50"/>
        <v>3572850</v>
      </c>
      <c r="BF30" s="631">
        <f t="shared" si="50"/>
        <v>910718</v>
      </c>
      <c r="BG30" s="659">
        <f>SUM(BE30,BF30)</f>
        <v>4483568</v>
      </c>
      <c r="BH30" s="630">
        <f t="shared" ref="BH30:BY30" si="51">SUM(BH14:BH29)</f>
        <v>2931426</v>
      </c>
      <c r="BI30" s="631">
        <f t="shared" si="51"/>
        <v>639516</v>
      </c>
      <c r="BJ30" s="658">
        <f t="shared" si="51"/>
        <v>3570942</v>
      </c>
      <c r="BK30" s="630">
        <f t="shared" si="51"/>
        <v>2310345</v>
      </c>
      <c r="BL30" s="631">
        <f t="shared" si="51"/>
        <v>416472</v>
      </c>
      <c r="BM30" s="658">
        <f t="shared" si="51"/>
        <v>2726817</v>
      </c>
      <c r="BN30" s="630">
        <f t="shared" si="51"/>
        <v>1689264</v>
      </c>
      <c r="BO30" s="631">
        <f t="shared" si="51"/>
        <v>241533</v>
      </c>
      <c r="BP30" s="658">
        <f t="shared" si="51"/>
        <v>1930797</v>
      </c>
      <c r="BQ30" s="630">
        <f t="shared" si="51"/>
        <v>1068183</v>
      </c>
      <c r="BR30" s="631">
        <f t="shared" si="51"/>
        <v>114699</v>
      </c>
      <c r="BS30" s="658">
        <f t="shared" si="51"/>
        <v>1182882</v>
      </c>
      <c r="BT30" s="630">
        <f t="shared" si="51"/>
        <v>447102</v>
      </c>
      <c r="BU30" s="631">
        <f t="shared" si="51"/>
        <v>35971</v>
      </c>
      <c r="BV30" s="658">
        <f t="shared" si="51"/>
        <v>483073</v>
      </c>
      <c r="BW30" s="630">
        <f t="shared" si="51"/>
        <v>54553</v>
      </c>
      <c r="BX30" s="631">
        <f t="shared" si="51"/>
        <v>3874</v>
      </c>
      <c r="BY30" s="658">
        <f t="shared" si="51"/>
        <v>58427</v>
      </c>
      <c r="BZ30" s="435"/>
    </row>
    <row r="31" spans="1:78" ht="13.5">
      <c r="A31" s="660"/>
      <c r="B31" s="661" t="s">
        <v>303</v>
      </c>
      <c r="C31" s="1497">
        <f>SUM(C30,D30)</f>
        <v>785713</v>
      </c>
      <c r="D31" s="1498"/>
      <c r="E31" s="1497">
        <f>SUM(E30,F30)</f>
        <v>11943721</v>
      </c>
      <c r="F31" s="1498"/>
      <c r="G31" s="1497">
        <f>SUM(G30,H30)</f>
        <v>775438</v>
      </c>
      <c r="H31" s="1498"/>
      <c r="I31" s="1497">
        <f>SUM(I30,J30)</f>
        <v>718442</v>
      </c>
      <c r="J31" s="1498"/>
      <c r="K31" s="1499">
        <f>SUM(K30,L30)</f>
        <v>1044517</v>
      </c>
      <c r="L31" s="1500"/>
      <c r="M31" s="1497">
        <f>SUM(M30,N30)</f>
        <v>1452374</v>
      </c>
      <c r="N31" s="1498"/>
      <c r="O31" s="1499">
        <f>SUM(O30,P30)</f>
        <v>1246297</v>
      </c>
      <c r="P31" s="1500"/>
      <c r="Q31" s="1497">
        <f>SUM(Q30,R30)</f>
        <v>1163304</v>
      </c>
      <c r="R31" s="1498"/>
      <c r="S31" s="1499">
        <f>SUM(S30,T30)</f>
        <v>1059781</v>
      </c>
      <c r="T31" s="1500"/>
      <c r="U31" s="1497">
        <f>SUM(U30,V30)</f>
        <v>912626</v>
      </c>
      <c r="V31" s="1498"/>
      <c r="W31" s="1499">
        <f>SUM(W30,X30)</f>
        <v>844125</v>
      </c>
      <c r="X31" s="1500"/>
      <c r="Y31" s="1497">
        <f>SUM(Y30,Z30)</f>
        <v>796020</v>
      </c>
      <c r="Z31" s="1498"/>
      <c r="AA31" s="1499">
        <f>SUM(AA30,AB30)</f>
        <v>747915</v>
      </c>
      <c r="AB31" s="1500"/>
      <c r="AC31" s="1497">
        <f>SUM(AC30,AD30)</f>
        <v>699809</v>
      </c>
      <c r="AD31" s="1498"/>
      <c r="AE31" s="1499">
        <f>SUM(AE30,AF30)</f>
        <v>424646</v>
      </c>
      <c r="AF31" s="1498"/>
      <c r="AG31" s="1499">
        <f>SUM(AG30,AH30)</f>
        <v>58427</v>
      </c>
      <c r="AH31" s="1504"/>
      <c r="AI31" s="435"/>
      <c r="AJ31" s="435"/>
      <c r="AK31" s="602"/>
      <c r="AL31" s="602"/>
      <c r="AM31" s="662"/>
      <c r="AN31" s="663"/>
      <c r="AO31" s="664"/>
      <c r="AP31" s="665"/>
      <c r="AQ31" s="666"/>
      <c r="AR31" s="667"/>
      <c r="AS31" s="665"/>
      <c r="AT31" s="666"/>
      <c r="AU31" s="667"/>
      <c r="AV31" s="665"/>
      <c r="AW31" s="666"/>
      <c r="AX31" s="667"/>
      <c r="AY31" s="665"/>
      <c r="AZ31" s="666"/>
      <c r="BA31" s="667"/>
      <c r="BB31" s="665"/>
      <c r="BC31" s="666"/>
      <c r="BD31" s="667"/>
      <c r="BE31" s="665"/>
      <c r="BF31" s="666"/>
      <c r="BG31" s="667"/>
      <c r="BH31" s="665"/>
      <c r="BI31" s="666"/>
      <c r="BJ31" s="667"/>
      <c r="BK31" s="665"/>
      <c r="BL31" s="666"/>
      <c r="BM31" s="667"/>
      <c r="BN31" s="665"/>
      <c r="BO31" s="666"/>
      <c r="BP31" s="667"/>
      <c r="BQ31" s="665"/>
      <c r="BR31" s="666"/>
      <c r="BS31" s="667"/>
      <c r="BT31" s="665"/>
      <c r="BU31" s="666"/>
      <c r="BV31" s="667"/>
      <c r="BW31" s="665"/>
      <c r="BX31" s="666"/>
      <c r="BY31" s="667"/>
      <c r="BZ31" s="435"/>
    </row>
    <row r="32" spans="1:78">
      <c r="A32" s="1518" t="s">
        <v>307</v>
      </c>
      <c r="B32" s="1519"/>
      <c r="C32" s="668">
        <f t="shared" ref="C32:AH32" si="52">SUM(C11,C30)</f>
        <v>670898</v>
      </c>
      <c r="D32" s="669">
        <f t="shared" si="52"/>
        <v>114815</v>
      </c>
      <c r="E32" s="668">
        <f t="shared" si="52"/>
        <v>9120638</v>
      </c>
      <c r="F32" s="669">
        <f t="shared" si="52"/>
        <v>2823083</v>
      </c>
      <c r="G32" s="668">
        <f t="shared" si="52"/>
        <v>698867</v>
      </c>
      <c r="H32" s="669">
        <f t="shared" si="52"/>
        <v>76571</v>
      </c>
      <c r="I32" s="668">
        <f t="shared" si="52"/>
        <v>660865</v>
      </c>
      <c r="J32" s="669">
        <f t="shared" si="52"/>
        <v>57577</v>
      </c>
      <c r="K32" s="670">
        <f t="shared" si="52"/>
        <v>829928</v>
      </c>
      <c r="L32" s="671">
        <f t="shared" si="52"/>
        <v>214589</v>
      </c>
      <c r="M32" s="668">
        <f t="shared" si="52"/>
        <v>1012100</v>
      </c>
      <c r="N32" s="669">
        <f t="shared" si="52"/>
        <v>440274</v>
      </c>
      <c r="O32" s="670">
        <f t="shared" si="52"/>
        <v>818549</v>
      </c>
      <c r="P32" s="671">
        <f t="shared" si="52"/>
        <v>427748</v>
      </c>
      <c r="Q32" s="668">
        <f t="shared" si="52"/>
        <v>789237</v>
      </c>
      <c r="R32" s="669">
        <f t="shared" si="52"/>
        <v>374067</v>
      </c>
      <c r="S32" s="670">
        <f t="shared" si="52"/>
        <v>738242</v>
      </c>
      <c r="T32" s="671">
        <f t="shared" si="52"/>
        <v>321539</v>
      </c>
      <c r="U32" s="668">
        <f t="shared" si="52"/>
        <v>641424</v>
      </c>
      <c r="V32" s="669">
        <f t="shared" si="52"/>
        <v>271202</v>
      </c>
      <c r="W32" s="670">
        <f t="shared" si="52"/>
        <v>621081</v>
      </c>
      <c r="X32" s="671">
        <f t="shared" si="52"/>
        <v>223044</v>
      </c>
      <c r="Y32" s="668">
        <f t="shared" si="52"/>
        <v>621081</v>
      </c>
      <c r="Z32" s="669">
        <f t="shared" si="52"/>
        <v>174939</v>
      </c>
      <c r="AA32" s="670">
        <f t="shared" si="52"/>
        <v>621081</v>
      </c>
      <c r="AB32" s="671">
        <f t="shared" si="52"/>
        <v>126834</v>
      </c>
      <c r="AC32" s="668">
        <f t="shared" si="52"/>
        <v>621081</v>
      </c>
      <c r="AD32" s="669">
        <f t="shared" si="52"/>
        <v>78728</v>
      </c>
      <c r="AE32" s="670">
        <f t="shared" si="52"/>
        <v>392549</v>
      </c>
      <c r="AF32" s="669">
        <f t="shared" si="52"/>
        <v>32097</v>
      </c>
      <c r="AG32" s="670">
        <f t="shared" si="52"/>
        <v>54553</v>
      </c>
      <c r="AH32" s="672">
        <f t="shared" si="52"/>
        <v>3874</v>
      </c>
      <c r="AI32" s="435"/>
      <c r="AJ32" s="435"/>
      <c r="AK32" s="673" t="s">
        <v>307</v>
      </c>
      <c r="AL32" s="674"/>
      <c r="AM32" s="675">
        <f t="shared" ref="AM32:BY32" si="53">SUM(AM11+AM30)</f>
        <v>2210961</v>
      </c>
      <c r="AN32" s="676">
        <f t="shared" si="53"/>
        <v>140784</v>
      </c>
      <c r="AO32" s="677">
        <f t="shared" si="53"/>
        <v>2351745</v>
      </c>
      <c r="AP32" s="675">
        <f t="shared" si="53"/>
        <v>3835416</v>
      </c>
      <c r="AQ32" s="676">
        <f t="shared" si="53"/>
        <v>1042007</v>
      </c>
      <c r="AR32" s="677">
        <f t="shared" si="53"/>
        <v>747291</v>
      </c>
      <c r="AS32" s="675">
        <f t="shared" si="53"/>
        <v>6385448</v>
      </c>
      <c r="AT32" s="676">
        <f t="shared" si="53"/>
        <v>2245469</v>
      </c>
      <c r="AU32" s="677">
        <f t="shared" si="53"/>
        <v>8630917</v>
      </c>
      <c r="AV32" s="675">
        <f t="shared" si="53"/>
        <v>5918878</v>
      </c>
      <c r="AW32" s="676">
        <f t="shared" si="53"/>
        <v>2034072</v>
      </c>
      <c r="AX32" s="677">
        <f t="shared" si="53"/>
        <v>7952950</v>
      </c>
      <c r="AY32" s="675">
        <f t="shared" si="53"/>
        <v>5100329</v>
      </c>
      <c r="AZ32" s="676">
        <f t="shared" si="53"/>
        <v>1606324</v>
      </c>
      <c r="BA32" s="677">
        <f t="shared" si="53"/>
        <v>6706653</v>
      </c>
      <c r="BB32" s="675">
        <f t="shared" si="53"/>
        <v>4311092</v>
      </c>
      <c r="BC32" s="676">
        <f t="shared" si="53"/>
        <v>1232257</v>
      </c>
      <c r="BD32" s="677">
        <f t="shared" si="53"/>
        <v>5543349</v>
      </c>
      <c r="BE32" s="675">
        <f t="shared" si="53"/>
        <v>3572850</v>
      </c>
      <c r="BF32" s="676">
        <f t="shared" si="53"/>
        <v>910718</v>
      </c>
      <c r="BG32" s="677">
        <f t="shared" si="53"/>
        <v>4483568</v>
      </c>
      <c r="BH32" s="675">
        <f t="shared" si="53"/>
        <v>2931426</v>
      </c>
      <c r="BI32" s="676">
        <f t="shared" si="53"/>
        <v>639516</v>
      </c>
      <c r="BJ32" s="677">
        <f t="shared" si="53"/>
        <v>3570942</v>
      </c>
      <c r="BK32" s="675">
        <f t="shared" si="53"/>
        <v>2310345</v>
      </c>
      <c r="BL32" s="676">
        <f t="shared" si="53"/>
        <v>416472</v>
      </c>
      <c r="BM32" s="677">
        <f t="shared" si="53"/>
        <v>2726817</v>
      </c>
      <c r="BN32" s="675">
        <f t="shared" si="53"/>
        <v>1689264</v>
      </c>
      <c r="BO32" s="676">
        <f t="shared" si="53"/>
        <v>241533</v>
      </c>
      <c r="BP32" s="677">
        <f t="shared" si="53"/>
        <v>1930797</v>
      </c>
      <c r="BQ32" s="675">
        <f t="shared" si="53"/>
        <v>1068183</v>
      </c>
      <c r="BR32" s="676">
        <f t="shared" si="53"/>
        <v>114699</v>
      </c>
      <c r="BS32" s="677">
        <f t="shared" si="53"/>
        <v>1182882</v>
      </c>
      <c r="BT32" s="675">
        <f t="shared" si="53"/>
        <v>447102</v>
      </c>
      <c r="BU32" s="676">
        <f t="shared" si="53"/>
        <v>35971</v>
      </c>
      <c r="BV32" s="677">
        <f t="shared" si="53"/>
        <v>483073</v>
      </c>
      <c r="BW32" s="675">
        <f t="shared" si="53"/>
        <v>54553</v>
      </c>
      <c r="BX32" s="676">
        <f t="shared" si="53"/>
        <v>3874</v>
      </c>
      <c r="BY32" s="677">
        <f t="shared" si="53"/>
        <v>58427</v>
      </c>
      <c r="BZ32" s="435"/>
    </row>
    <row r="33" spans="1:78" ht="13.5" thickBot="1">
      <c r="A33" s="1520" t="s">
        <v>308</v>
      </c>
      <c r="B33" s="1521"/>
      <c r="C33" s="1522">
        <f>SUM(C32,D32)</f>
        <v>785713</v>
      </c>
      <c r="D33" s="1523"/>
      <c r="E33" s="678"/>
      <c r="F33" s="679"/>
      <c r="G33" s="1522">
        <f>SUM(G32,H32)</f>
        <v>775438</v>
      </c>
      <c r="H33" s="1523"/>
      <c r="I33" s="1522">
        <f>SUM(I32,J32)</f>
        <v>718442</v>
      </c>
      <c r="J33" s="1523"/>
      <c r="K33" s="1524">
        <f>SUM(K32,L32)</f>
        <v>1044517</v>
      </c>
      <c r="L33" s="1525"/>
      <c r="M33" s="1522">
        <f>SUM(M32,N32)</f>
        <v>1452374</v>
      </c>
      <c r="N33" s="1523"/>
      <c r="O33" s="1524">
        <f>SUM(O32,P32)</f>
        <v>1246297</v>
      </c>
      <c r="P33" s="1525"/>
      <c r="Q33" s="1522">
        <f>SUM(Q32,R32)</f>
        <v>1163304</v>
      </c>
      <c r="R33" s="1523"/>
      <c r="S33" s="680"/>
      <c r="T33" s="681"/>
      <c r="U33" s="1522">
        <f>SUM(U32,V32)</f>
        <v>912626</v>
      </c>
      <c r="V33" s="1523"/>
      <c r="W33" s="1524">
        <f>SUM(W32,X32)</f>
        <v>844125</v>
      </c>
      <c r="X33" s="1525"/>
      <c r="Y33" s="1522">
        <f>SUM(Y32,Z32)</f>
        <v>796020</v>
      </c>
      <c r="Z33" s="1523"/>
      <c r="AA33" s="1524">
        <f>SUM(AA32,AB32)</f>
        <v>747915</v>
      </c>
      <c r="AB33" s="1525"/>
      <c r="AC33" s="1522">
        <f>SUM(AC32,AD32)</f>
        <v>699809</v>
      </c>
      <c r="AD33" s="1523"/>
      <c r="AE33" s="1524">
        <f>SUM(AE32,AF32)</f>
        <v>424646</v>
      </c>
      <c r="AF33" s="1523"/>
      <c r="AG33" s="1524">
        <f>SUM(AG32,AH32)</f>
        <v>58427</v>
      </c>
      <c r="AH33" s="1530"/>
      <c r="AI33" s="435"/>
      <c r="AJ33" s="435"/>
      <c r="AK33" s="602"/>
      <c r="AL33" s="602"/>
      <c r="AM33" s="1505"/>
      <c r="AN33" s="1506"/>
      <c r="AO33" s="1507"/>
      <c r="AP33" s="1505"/>
      <c r="AQ33" s="1506"/>
      <c r="AR33" s="1507"/>
      <c r="AS33" s="1505"/>
      <c r="AT33" s="1506"/>
      <c r="AU33" s="1507"/>
      <c r="AV33" s="1505"/>
      <c r="AW33" s="1506"/>
      <c r="AX33" s="1507"/>
      <c r="AY33" s="1505"/>
      <c r="AZ33" s="1506"/>
      <c r="BA33" s="1507"/>
      <c r="BB33" s="1505"/>
      <c r="BC33" s="1506"/>
      <c r="BD33" s="1507"/>
      <c r="BE33" s="1505"/>
      <c r="BF33" s="1506"/>
      <c r="BG33" s="1507"/>
      <c r="BH33" s="1505"/>
      <c r="BI33" s="1506"/>
      <c r="BJ33" s="1507"/>
      <c r="BK33" s="1505"/>
      <c r="BL33" s="1506"/>
      <c r="BM33" s="1507"/>
      <c r="BN33" s="1505"/>
      <c r="BO33" s="1506"/>
      <c r="BP33" s="1507"/>
      <c r="BQ33" s="1505"/>
      <c r="BR33" s="1506"/>
      <c r="BS33" s="1507"/>
      <c r="BT33" s="1505"/>
      <c r="BU33" s="1506"/>
      <c r="BV33" s="1507"/>
      <c r="BW33" s="1505"/>
      <c r="BX33" s="1506"/>
      <c r="BY33" s="1507"/>
      <c r="BZ33" s="435"/>
    </row>
    <row r="34" spans="1:78" ht="27" customHeight="1">
      <c r="A34" s="633" t="s">
        <v>309</v>
      </c>
      <c r="B34" s="636" t="s">
        <v>310</v>
      </c>
      <c r="C34" s="637" t="s">
        <v>298</v>
      </c>
      <c r="D34" s="638" t="s">
        <v>299</v>
      </c>
      <c r="E34" s="637" t="s">
        <v>298</v>
      </c>
      <c r="F34" s="638" t="s">
        <v>299</v>
      </c>
      <c r="G34" s="637" t="s">
        <v>298</v>
      </c>
      <c r="H34" s="638" t="s">
        <v>299</v>
      </c>
      <c r="I34" s="637" t="s">
        <v>298</v>
      </c>
      <c r="J34" s="638" t="s">
        <v>299</v>
      </c>
      <c r="K34" s="639" t="s">
        <v>298</v>
      </c>
      <c r="L34" s="636" t="s">
        <v>299</v>
      </c>
      <c r="M34" s="637" t="s">
        <v>298</v>
      </c>
      <c r="N34" s="638" t="s">
        <v>299</v>
      </c>
      <c r="O34" s="639" t="s">
        <v>298</v>
      </c>
      <c r="P34" s="636" t="s">
        <v>299</v>
      </c>
      <c r="Q34" s="637" t="s">
        <v>298</v>
      </c>
      <c r="R34" s="638" t="s">
        <v>299</v>
      </c>
      <c r="S34" s="639" t="s">
        <v>298</v>
      </c>
      <c r="T34" s="636" t="s">
        <v>299</v>
      </c>
      <c r="U34" s="637" t="s">
        <v>298</v>
      </c>
      <c r="V34" s="638" t="s">
        <v>299</v>
      </c>
      <c r="W34" s="639" t="s">
        <v>298</v>
      </c>
      <c r="X34" s="636" t="s">
        <v>299</v>
      </c>
      <c r="Y34" s="637" t="s">
        <v>298</v>
      </c>
      <c r="Z34" s="638" t="s">
        <v>299</v>
      </c>
      <c r="AA34" s="639" t="s">
        <v>298</v>
      </c>
      <c r="AB34" s="636" t="s">
        <v>299</v>
      </c>
      <c r="AC34" s="637" t="s">
        <v>298</v>
      </c>
      <c r="AD34" s="638" t="s">
        <v>299</v>
      </c>
      <c r="AE34" s="639" t="s">
        <v>298</v>
      </c>
      <c r="AF34" s="638" t="s">
        <v>299</v>
      </c>
      <c r="AG34" s="639" t="s">
        <v>298</v>
      </c>
      <c r="AH34" s="640" t="s">
        <v>299</v>
      </c>
      <c r="AI34" s="435"/>
      <c r="AJ34" s="435"/>
      <c r="AK34" s="635" t="s">
        <v>309</v>
      </c>
      <c r="AL34" s="628"/>
      <c r="AM34" s="604" t="s">
        <v>298</v>
      </c>
      <c r="AN34" s="605" t="s">
        <v>299</v>
      </c>
      <c r="AO34" s="606" t="s">
        <v>300</v>
      </c>
      <c r="AP34" s="604" t="s">
        <v>298</v>
      </c>
      <c r="AQ34" s="605" t="s">
        <v>299</v>
      </c>
      <c r="AR34" s="606" t="s">
        <v>300</v>
      </c>
      <c r="AS34" s="604" t="s">
        <v>298</v>
      </c>
      <c r="AT34" s="605" t="s">
        <v>299</v>
      </c>
      <c r="AU34" s="606" t="s">
        <v>300</v>
      </c>
      <c r="AV34" s="604" t="s">
        <v>298</v>
      </c>
      <c r="AW34" s="605" t="s">
        <v>299</v>
      </c>
      <c r="AX34" s="606" t="s">
        <v>300</v>
      </c>
      <c r="AY34" s="604" t="s">
        <v>298</v>
      </c>
      <c r="AZ34" s="605" t="s">
        <v>299</v>
      </c>
      <c r="BA34" s="606" t="s">
        <v>300</v>
      </c>
      <c r="BB34" s="604" t="s">
        <v>298</v>
      </c>
      <c r="BC34" s="605" t="s">
        <v>299</v>
      </c>
      <c r="BD34" s="606" t="s">
        <v>300</v>
      </c>
      <c r="BE34" s="604" t="s">
        <v>298</v>
      </c>
      <c r="BF34" s="605" t="s">
        <v>299</v>
      </c>
      <c r="BG34" s="606" t="s">
        <v>300</v>
      </c>
      <c r="BH34" s="604" t="s">
        <v>298</v>
      </c>
      <c r="BI34" s="605" t="s">
        <v>299</v>
      </c>
      <c r="BJ34" s="606" t="s">
        <v>300</v>
      </c>
      <c r="BK34" s="604" t="s">
        <v>298</v>
      </c>
      <c r="BL34" s="605" t="s">
        <v>299</v>
      </c>
      <c r="BM34" s="606" t="s">
        <v>300</v>
      </c>
      <c r="BN34" s="604" t="s">
        <v>298</v>
      </c>
      <c r="BO34" s="605" t="s">
        <v>299</v>
      </c>
      <c r="BP34" s="606" t="s">
        <v>300</v>
      </c>
      <c r="BQ34" s="604" t="s">
        <v>298</v>
      </c>
      <c r="BR34" s="605" t="s">
        <v>299</v>
      </c>
      <c r="BS34" s="606" t="s">
        <v>300</v>
      </c>
      <c r="BT34" s="604" t="s">
        <v>298</v>
      </c>
      <c r="BU34" s="605" t="s">
        <v>299</v>
      </c>
      <c r="BV34" s="606" t="s">
        <v>300</v>
      </c>
      <c r="BW34" s="604" t="s">
        <v>298</v>
      </c>
      <c r="BX34" s="605" t="s">
        <v>299</v>
      </c>
      <c r="BY34" s="606" t="s">
        <v>300</v>
      </c>
      <c r="BZ34" s="435"/>
    </row>
    <row r="35" spans="1:78">
      <c r="A35" s="682" t="str">
        <f>'HSZ do groszy'!A35</f>
        <v xml:space="preserve">BOŚ </v>
      </c>
      <c r="B35" s="683">
        <f>ROUNDUP('HSZ do groszy'!B35,0)</f>
        <v>12850000</v>
      </c>
      <c r="C35" s="684">
        <f>ROUNDUP('HSZ do groszy'!C35,0)</f>
        <v>3550000</v>
      </c>
      <c r="D35" s="685">
        <f>ROUNDUP('HSZ do groszy'!D35,0)</f>
        <v>273482</v>
      </c>
      <c r="E35" s="856">
        <f t="shared" ref="E35:E56" si="54">G35+I35+K35+M35+O35+Q35+S35+U35+W35+Y35+AA35+AC35+AE35+AG35</f>
        <v>6300000</v>
      </c>
      <c r="F35" s="686">
        <f t="shared" ref="F35:F44" si="55">H35+J35+L35+N35+P35+R35+T35+V35+X35+Z35+AB35+AD35+AF35+AH35</f>
        <v>134305</v>
      </c>
      <c r="G35" s="684">
        <f>ROUNDUP('HSZ do groszy'!G35,0)</f>
        <v>6300000</v>
      </c>
      <c r="H35" s="685">
        <f>ROUNDUP('HSZ do groszy'!H35,0)</f>
        <v>134305</v>
      </c>
      <c r="I35" s="684">
        <f>ROUNDUP('HSZ do groszy'!I35,0)</f>
        <v>0</v>
      </c>
      <c r="J35" s="685">
        <f>ROUNDUP('HSZ do groszy'!J35,0)</f>
        <v>0</v>
      </c>
      <c r="K35" s="687">
        <f>ROUNDUP('HSZ do groszy'!K35,0)</f>
        <v>0</v>
      </c>
      <c r="L35" s="688">
        <f>ROUNDUP('HSZ do groszy'!L35,0)</f>
        <v>0</v>
      </c>
      <c r="M35" s="684">
        <f>ROUNDUP('HSZ do groszy'!M35,0)</f>
        <v>0</v>
      </c>
      <c r="N35" s="685">
        <f>ROUNDUP('HSZ do groszy'!N35,0)</f>
        <v>0</v>
      </c>
      <c r="O35" s="687">
        <f>ROUNDUP('HSZ do groszy'!O35,0)</f>
        <v>0</v>
      </c>
      <c r="P35" s="688">
        <f>ROUNDUP('HSZ do groszy'!P35,0)</f>
        <v>0</v>
      </c>
      <c r="Q35" s="684">
        <f>ROUNDUP('HSZ do groszy'!Q35,0)</f>
        <v>0</v>
      </c>
      <c r="R35" s="685">
        <f>ROUNDUP('HSZ do groszy'!R35,0)</f>
        <v>0</v>
      </c>
      <c r="S35" s="687">
        <f>ROUNDUP('HSZ do groszy'!S35,0)</f>
        <v>0</v>
      </c>
      <c r="T35" s="688">
        <f>ROUNDUP('HSZ do groszy'!T35,0)</f>
        <v>0</v>
      </c>
      <c r="U35" s="684">
        <f>ROUNDUP('HSZ do groszy'!U35,0)</f>
        <v>0</v>
      </c>
      <c r="V35" s="685">
        <f>ROUNDUP('HSZ do groszy'!V35,0)</f>
        <v>0</v>
      </c>
      <c r="W35" s="687">
        <f>ROUNDUP('HSZ do groszy'!W35,0)</f>
        <v>0</v>
      </c>
      <c r="X35" s="688">
        <f>ROUNDUP('HSZ do groszy'!X35,0)</f>
        <v>0</v>
      </c>
      <c r="Y35" s="684">
        <f>ROUNDUP('HSZ do groszy'!Y35,0)</f>
        <v>0</v>
      </c>
      <c r="Z35" s="685">
        <f>ROUNDUP('HSZ do groszy'!Z35,0)</f>
        <v>0</v>
      </c>
      <c r="AA35" s="687">
        <f>ROUNDUP('HSZ do groszy'!AA35,0)</f>
        <v>0</v>
      </c>
      <c r="AB35" s="688">
        <f>ROUNDUP('HSZ do groszy'!AB35,0)</f>
        <v>0</v>
      </c>
      <c r="AC35" s="684">
        <f>ROUNDUP('HSZ do groszy'!AC35,0)</f>
        <v>0</v>
      </c>
      <c r="AD35" s="685">
        <f>ROUNDUP('HSZ do groszy'!AD35,0)</f>
        <v>0</v>
      </c>
      <c r="AE35" s="687">
        <f>ROUNDUP('HSZ do groszy'!AE35,0)</f>
        <v>0</v>
      </c>
      <c r="AF35" s="685">
        <f>ROUNDUP('HSZ do groszy'!AF35,0)</f>
        <v>0</v>
      </c>
      <c r="AG35" s="687">
        <f>ROUNDUP('HSZ do groszy'!AG35,0)</f>
        <v>0</v>
      </c>
      <c r="AH35" s="689">
        <f>ROUNDUP('HSZ do groszy'!AH35,0)</f>
        <v>0</v>
      </c>
      <c r="AI35" s="435"/>
      <c r="AJ35" s="435"/>
      <c r="AK35" s="690" t="str">
        <f t="shared" ref="AK35:AL39" si="56">A35</f>
        <v xml:space="preserve">BOŚ </v>
      </c>
      <c r="AL35" s="691">
        <f t="shared" si="56"/>
        <v>12850000</v>
      </c>
      <c r="AM35" s="692">
        <f>SUM($I35,$K35,$M35,$O35,$Q35,$S35,$U35,$W35,$Y35,$AA35,$AC35,$AE35,$AG35)</f>
        <v>0</v>
      </c>
      <c r="AN35" s="693">
        <f>SUM($J35,$L35,$N35,$P35,$R35,$T35,$V35,$X35,$Z35,$AB35,$AD35,$AF35,$AH35)</f>
        <v>0</v>
      </c>
      <c r="AO35" s="685">
        <f>SUM(AM35,AN35)</f>
        <v>0</v>
      </c>
      <c r="AP35" s="692">
        <f>SUM($K35,$M35,$O35,$Q35,$S35,$U35,$W35,$Y35,$AA35,$AC35,$AE35,$AG35)</f>
        <v>0</v>
      </c>
      <c r="AQ35" s="693">
        <f>SUM($L35,$N35,$P35,$R35,$T35,$V35,$X35,$Z35,$AB35,$AD35,$AF35,$AH35)</f>
        <v>0</v>
      </c>
      <c r="AR35" s="685">
        <f>SUM(AP35,AQ35)</f>
        <v>0</v>
      </c>
      <c r="AS35" s="692">
        <f>SUM($M35,$O35,$Q35,$S35,$U35,$W35,$Y35,$AA35,$AC35,$AE35,$AG35)</f>
        <v>0</v>
      </c>
      <c r="AT35" s="693">
        <f>SUM($N35,$P35,$R35,$T35,$V35,$X35,$Z35,$AB35,$AD35,$AF35,$AH35)</f>
        <v>0</v>
      </c>
      <c r="AU35" s="685">
        <f>SUM(AS35,AT35)</f>
        <v>0</v>
      </c>
      <c r="AV35" s="692">
        <f>SUM($O35,$Q35,$S35,$U35,$W35,$Y35,$AA35,$AC35,$AE35,$AG35)</f>
        <v>0</v>
      </c>
      <c r="AW35" s="693">
        <f>SUM($P35,$R35,$T35,$V35,$X35,$Z35,$AB35,$AD35,$AF35,$AH35)</f>
        <v>0</v>
      </c>
      <c r="AX35" s="685">
        <f>SUM(AV35,AW35)</f>
        <v>0</v>
      </c>
      <c r="AY35" s="692">
        <f>SUM($Q35,$S35,$U35,$W35,$Y35,$AA35,$AC35,$AE35,$AG35)</f>
        <v>0</v>
      </c>
      <c r="AZ35" s="693">
        <f>SUM($R35,$T35,$V35,$X35,$Z35,$AB35,$AD35,$AF35,$AH35)</f>
        <v>0</v>
      </c>
      <c r="BA35" s="685">
        <f>SUM(AY35,AZ35)</f>
        <v>0</v>
      </c>
      <c r="BB35" s="692">
        <f>SUM($S35,$U35,$W35,$Y35,$AA35,$AC35,$AE35,$AG35)</f>
        <v>0</v>
      </c>
      <c r="BC35" s="693">
        <f>SUM($T35,$V35,$X35,$Z35,$AB35,$AD35,$AF35,$AH35)</f>
        <v>0</v>
      </c>
      <c r="BD35" s="685">
        <f>SUM(BB35,BC35)</f>
        <v>0</v>
      </c>
      <c r="BE35" s="692">
        <f>SUM($U35,$W35,$Y35,$AA35,$AC35,$AE35,$AG35)</f>
        <v>0</v>
      </c>
      <c r="BF35" s="693">
        <f>SUM($V35,$X35,$Z35,$AB35,$AD35,$AF35,$AH35)</f>
        <v>0</v>
      </c>
      <c r="BG35" s="685">
        <f>SUM(BE35,BF35)</f>
        <v>0</v>
      </c>
      <c r="BH35" s="692">
        <f>SUM($W35,$Y35,$AA35,$AC35,$AE35,$AG35)</f>
        <v>0</v>
      </c>
      <c r="BI35" s="693">
        <f>SUM($X35,$Z35,$AB35,$AD35,$AF35,$AH35)</f>
        <v>0</v>
      </c>
      <c r="BJ35" s="685">
        <f>SUM(BH35,BI35)</f>
        <v>0</v>
      </c>
      <c r="BK35" s="692">
        <f>SUM($Y35,$AA35,$AC35,$AE35,$AG35)</f>
        <v>0</v>
      </c>
      <c r="BL35" s="693">
        <f>SUM($Z35,$AB35,$AD35,$AF35,$AH35)</f>
        <v>0</v>
      </c>
      <c r="BM35" s="685">
        <f>SUM(BK35,BL35)</f>
        <v>0</v>
      </c>
      <c r="BN35" s="692">
        <f>SUM($AA35,$AC35,$AE35,$AG35)</f>
        <v>0</v>
      </c>
      <c r="BO35" s="693">
        <f>SUM($AB35,$AD35,$AF35,$AH35)</f>
        <v>0</v>
      </c>
      <c r="BP35" s="685">
        <f>SUM(BN35,BO35)</f>
        <v>0</v>
      </c>
      <c r="BQ35" s="692">
        <f>SUM($AC35,$AE35,$AG35)</f>
        <v>0</v>
      </c>
      <c r="BR35" s="693">
        <f>SUM($AD35,$AF35,$AH35)</f>
        <v>0</v>
      </c>
      <c r="BS35" s="685">
        <f>SUM(BQ35,BR35)</f>
        <v>0</v>
      </c>
      <c r="BT35" s="692">
        <f>SUM($AE35,$AG35)</f>
        <v>0</v>
      </c>
      <c r="BU35" s="693">
        <f>SUM($AF35,$AH35)</f>
        <v>0</v>
      </c>
      <c r="BV35" s="685">
        <f>SUM(BT35,BU35)</f>
        <v>0</v>
      </c>
      <c r="BW35" s="692">
        <f>SUM($AG35)</f>
        <v>0</v>
      </c>
      <c r="BX35" s="693">
        <f>SUM($AH35)</f>
        <v>0</v>
      </c>
      <c r="BY35" s="685">
        <f>SUM(BW35,BX35)</f>
        <v>0</v>
      </c>
      <c r="BZ35" s="435"/>
    </row>
    <row r="36" spans="1:78">
      <c r="A36" s="682" t="str">
        <f>'HSZ do groszy'!A36</f>
        <v>BOŚ Bank</v>
      </c>
      <c r="B36" s="683">
        <f>ROUNDUP('HSZ do groszy'!B36,0)</f>
        <v>2000000</v>
      </c>
      <c r="C36" s="684">
        <f>ROUNDUP('HSZ do groszy'!C36,0)</f>
        <v>0</v>
      </c>
      <c r="D36" s="685">
        <f>ROUNDUP('HSZ do groszy'!D36,0)</f>
        <v>73091</v>
      </c>
      <c r="E36" s="856">
        <f t="shared" si="54"/>
        <v>2000000</v>
      </c>
      <c r="F36" s="686">
        <f t="shared" si="55"/>
        <v>146182</v>
      </c>
      <c r="G36" s="684">
        <f>ROUNDUP('HSZ do groszy'!G36,0)</f>
        <v>0</v>
      </c>
      <c r="H36" s="685">
        <f>ROUNDUP('HSZ do groszy'!H36,0)</f>
        <v>73091</v>
      </c>
      <c r="I36" s="684">
        <f>ROUNDUP('HSZ do groszy'!I36,0)</f>
        <v>2000000</v>
      </c>
      <c r="J36" s="685">
        <f>ROUNDUP('HSZ do groszy'!J36,0)</f>
        <v>73091</v>
      </c>
      <c r="K36" s="687">
        <f>ROUNDUP('HSZ do groszy'!K36,0)</f>
        <v>0</v>
      </c>
      <c r="L36" s="688">
        <f>ROUNDUP('HSZ do groszy'!L36,0)</f>
        <v>0</v>
      </c>
      <c r="M36" s="684">
        <f>ROUNDUP('HSZ do groszy'!M36,0)</f>
        <v>0</v>
      </c>
      <c r="N36" s="685">
        <f>ROUNDUP('HSZ do groszy'!N36,0)</f>
        <v>0</v>
      </c>
      <c r="O36" s="687">
        <f>ROUNDUP('HSZ do groszy'!O36,0)</f>
        <v>0</v>
      </c>
      <c r="P36" s="688">
        <f>ROUNDUP('HSZ do groszy'!P36,0)</f>
        <v>0</v>
      </c>
      <c r="Q36" s="684">
        <f>ROUNDUP('HSZ do groszy'!Q36,0)</f>
        <v>0</v>
      </c>
      <c r="R36" s="685">
        <f>ROUNDUP('HSZ do groszy'!R36,0)</f>
        <v>0</v>
      </c>
      <c r="S36" s="687">
        <f>ROUNDUP('HSZ do groszy'!S36,0)</f>
        <v>0</v>
      </c>
      <c r="T36" s="688">
        <f>ROUNDUP('HSZ do groszy'!T36,0)</f>
        <v>0</v>
      </c>
      <c r="U36" s="684">
        <f>ROUNDUP('HSZ do groszy'!U36,0)</f>
        <v>0</v>
      </c>
      <c r="V36" s="685">
        <f>ROUNDUP('HSZ do groszy'!V36,0)</f>
        <v>0</v>
      </c>
      <c r="W36" s="687">
        <f>ROUNDUP('HSZ do groszy'!W36,0)</f>
        <v>0</v>
      </c>
      <c r="X36" s="688">
        <f>ROUNDUP('HSZ do groszy'!X36,0)</f>
        <v>0</v>
      </c>
      <c r="Y36" s="684">
        <f>ROUNDUP('HSZ do groszy'!Y36,0)</f>
        <v>0</v>
      </c>
      <c r="Z36" s="685">
        <f>ROUNDUP('HSZ do groszy'!Z36,0)</f>
        <v>0</v>
      </c>
      <c r="AA36" s="687">
        <f>ROUNDUP('HSZ do groszy'!AA36,0)</f>
        <v>0</v>
      </c>
      <c r="AB36" s="688">
        <f>ROUNDUP('HSZ do groszy'!AB36,0)</f>
        <v>0</v>
      </c>
      <c r="AC36" s="684">
        <f>ROUNDUP('HSZ do groszy'!AC36,0)</f>
        <v>0</v>
      </c>
      <c r="AD36" s="685">
        <f>ROUNDUP('HSZ do groszy'!AD36,0)</f>
        <v>0</v>
      </c>
      <c r="AE36" s="687">
        <f>ROUNDUP('HSZ do groszy'!AE36,0)</f>
        <v>0</v>
      </c>
      <c r="AF36" s="685">
        <f>ROUNDUP('HSZ do groszy'!AF36,0)</f>
        <v>0</v>
      </c>
      <c r="AG36" s="687">
        <f>ROUNDUP('HSZ do groszy'!AG36,0)</f>
        <v>0</v>
      </c>
      <c r="AH36" s="689">
        <f>ROUNDUP('HSZ do groszy'!AH36,0)</f>
        <v>0</v>
      </c>
      <c r="AI36" s="435"/>
      <c r="AJ36" s="435"/>
      <c r="AK36" s="690" t="str">
        <f t="shared" si="56"/>
        <v>BOŚ Bank</v>
      </c>
      <c r="AL36" s="691">
        <f t="shared" si="56"/>
        <v>2000000</v>
      </c>
      <c r="AM36" s="692">
        <f>SUM($I36,$K36,$M36,$O36,$Q36,$S36,$U36,$W36,$Y36,$AA36,$AC36,$AE36,$AG36)</f>
        <v>2000000</v>
      </c>
      <c r="AN36" s="693">
        <f>SUM($J36,$L36,$N36,$P36,$R36,$T36,$V36,$X36,$Z36,$AB36,$AD36,$AF36,$AH36)</f>
        <v>73091</v>
      </c>
      <c r="AO36" s="685">
        <f>SUM(AM36,AN36)</f>
        <v>2073091</v>
      </c>
      <c r="AP36" s="692">
        <f>SUM($K36,$M36,$O36,$Q36,$S36,$U36,$W36,$Y36,$AA36,$AC36,$AE36,$AG36)</f>
        <v>0</v>
      </c>
      <c r="AQ36" s="693">
        <f>SUM($L36,$N36,$P36,$R36,$T36,$V36,$X36,$Z36,$AB36,$AD36,$AF36,$AH36)</f>
        <v>0</v>
      </c>
      <c r="AR36" s="685">
        <f>SUM(AP36,AQ36)</f>
        <v>0</v>
      </c>
      <c r="AS36" s="692">
        <f>SUM($M36,$O36,$Q36,$S36,$U36,$W36,$Y36,$AA36,$AC36,$AE36,$AG36)</f>
        <v>0</v>
      </c>
      <c r="AT36" s="693">
        <f>SUM($N36,$P36,$R36,$T36,$V36,$X36,$Z36,$AB36,$AD36,$AF36,$AH36)</f>
        <v>0</v>
      </c>
      <c r="AU36" s="685">
        <f>SUM(AS36,AT36)</f>
        <v>0</v>
      </c>
      <c r="AV36" s="692">
        <f t="shared" ref="AV36:AV47" si="57">SUM($O36,$Q36,$S36,$U36,$W36,$Y36,$AA36,$AC36,$AE36,$AG36)</f>
        <v>0</v>
      </c>
      <c r="AW36" s="693">
        <f t="shared" ref="AW36:AW47" si="58">SUM($P36,$R36,$T36,$V36,$X36,$Z36,$AB36,$AD36,$AF36,$AH36)</f>
        <v>0</v>
      </c>
      <c r="AX36" s="685">
        <f>SUM(AV36,AW36)</f>
        <v>0</v>
      </c>
      <c r="AY36" s="692">
        <f t="shared" ref="AY36:AY48" si="59">SUM($Q36,$S36,$U36,$W36,$Y36,$AA36,$AC36,$AE36,$AG36)</f>
        <v>0</v>
      </c>
      <c r="AZ36" s="693">
        <f t="shared" ref="AZ36:AZ48" si="60">SUM($R36,$T36,$V36,$X36,$Z36,$AB36,$AD36,$AF36,$AH36)</f>
        <v>0</v>
      </c>
      <c r="BA36" s="685">
        <f>SUM(AY36,AZ36)</f>
        <v>0</v>
      </c>
      <c r="BB36" s="692">
        <f t="shared" ref="BB36:BB49" si="61">SUM($S36,$U36,$W36,$Y36,$AA36,$AC36,$AE36,$AG36)</f>
        <v>0</v>
      </c>
      <c r="BC36" s="693">
        <f t="shared" ref="BC36:BC49" si="62">SUM($T36,$V36,$X36,$Z36,$AB36,$AD36,$AF36,$AH36)</f>
        <v>0</v>
      </c>
      <c r="BD36" s="685">
        <f>SUM(BB36,BC36)</f>
        <v>0</v>
      </c>
      <c r="BE36" s="692">
        <f t="shared" ref="BE36:BE50" si="63">SUM($U36,$W36,$Y36,$AA36,$AC36,$AE36,$AG36)</f>
        <v>0</v>
      </c>
      <c r="BF36" s="693">
        <f t="shared" ref="BF36:BF50" si="64">SUM($V36,$X36,$Z36,$AB36,$AD36,$AF36,$AH36)</f>
        <v>0</v>
      </c>
      <c r="BG36" s="685">
        <f>SUM(BE36,BF36)</f>
        <v>0</v>
      </c>
      <c r="BH36" s="692">
        <f t="shared" ref="BH36:BH51" si="65">SUM($W36,$Y36,$AA36,$AC36,$AE36,$AG36)</f>
        <v>0</v>
      </c>
      <c r="BI36" s="693">
        <f t="shared" ref="BI36:BI51" si="66">SUM($X36,$Z36,$AB36,$AD36,$AF36,$AH36)</f>
        <v>0</v>
      </c>
      <c r="BJ36" s="685">
        <f>SUM(BH36,BI36)</f>
        <v>0</v>
      </c>
      <c r="BK36" s="692">
        <f t="shared" ref="BK36:BK52" si="67">SUM($Y36,$AA36,$AC36,$AE36,$AG36)</f>
        <v>0</v>
      </c>
      <c r="BL36" s="693">
        <f t="shared" ref="BL36:BL52" si="68">SUM($Z36,$AB36,$AD36,$AF36,$AH36)</f>
        <v>0</v>
      </c>
      <c r="BM36" s="685">
        <f>SUM(BK36,BL36)</f>
        <v>0</v>
      </c>
      <c r="BN36" s="692">
        <f t="shared" ref="BN36:BN53" si="69">SUM($AA36,$AC36,$AE36,$AG36)</f>
        <v>0</v>
      </c>
      <c r="BO36" s="693">
        <f t="shared" ref="BO36:BO53" si="70">SUM($AB36,$AD36,$AF36,$AH36)</f>
        <v>0</v>
      </c>
      <c r="BP36" s="685">
        <f t="shared" ref="BP36:BP53" si="71">SUM(BN36,BO36)</f>
        <v>0</v>
      </c>
      <c r="BQ36" s="692">
        <f t="shared" ref="BQ36:BQ56" si="72">SUM($AC36,$AE36,$AG36)</f>
        <v>0</v>
      </c>
      <c r="BR36" s="693">
        <f t="shared" ref="BR36:BR56" si="73">SUM($AD36,$AF36,$AH36)</f>
        <v>0</v>
      </c>
      <c r="BS36" s="685">
        <f t="shared" ref="BS36:BS53" si="74">SUM(BQ36,BR36)</f>
        <v>0</v>
      </c>
      <c r="BT36" s="692">
        <f t="shared" ref="BT36:BT56" si="75">SUM($AE36,$AG36)</f>
        <v>0</v>
      </c>
      <c r="BU36" s="693">
        <f t="shared" ref="BU36:BU56" si="76">SUM($AF36,$AH36)</f>
        <v>0</v>
      </c>
      <c r="BV36" s="685">
        <f t="shared" ref="BV36:BV53" si="77">SUM(BT36,BU36)</f>
        <v>0</v>
      </c>
      <c r="BW36" s="692">
        <f t="shared" ref="BW36:BW56" si="78">SUM($AG36)</f>
        <v>0</v>
      </c>
      <c r="BX36" s="693">
        <f t="shared" ref="BX36:BX56" si="79">SUM($AH36)</f>
        <v>0</v>
      </c>
      <c r="BY36" s="685">
        <f t="shared" ref="BY36:BY53" si="80">SUM(BW36,BX36)</f>
        <v>0</v>
      </c>
      <c r="BZ36" s="435"/>
    </row>
    <row r="37" spans="1:78">
      <c r="A37" s="694" t="str">
        <f>'HSZ do groszy'!A37</f>
        <v>ING Bank</v>
      </c>
      <c r="B37" s="695">
        <f>ROUNDUP('HSZ do groszy'!B37,0)</f>
        <v>8900000</v>
      </c>
      <c r="C37" s="684">
        <f>ROUNDUP('HSZ do groszy'!C37,0)</f>
        <v>0</v>
      </c>
      <c r="D37" s="685">
        <f>ROUNDUP('HSZ do groszy'!D37,0)</f>
        <v>559244</v>
      </c>
      <c r="E37" s="856">
        <f t="shared" si="54"/>
        <v>8900000</v>
      </c>
      <c r="F37" s="686">
        <f t="shared" si="55"/>
        <v>1478227</v>
      </c>
      <c r="G37" s="684">
        <f>ROUNDUP('HSZ do groszy'!G37,0)</f>
        <v>0</v>
      </c>
      <c r="H37" s="685">
        <f>ROUNDUP('HSZ do groszy'!H37,0)</f>
        <v>559244</v>
      </c>
      <c r="I37" s="684">
        <f>ROUNDUP('HSZ do groszy'!I37,0)</f>
        <v>3000000</v>
      </c>
      <c r="J37" s="685">
        <f>ROUNDUP('HSZ do groszy'!J37,0)</f>
        <v>527825</v>
      </c>
      <c r="K37" s="687">
        <f>ROUNDUP('HSZ do groszy'!K37,0)</f>
        <v>5000000</v>
      </c>
      <c r="L37" s="688">
        <f>ROUNDUP('HSZ do groszy'!L37,0)</f>
        <v>339317</v>
      </c>
      <c r="M37" s="684">
        <f>ROUNDUP('HSZ do groszy'!M37,0)</f>
        <v>900000</v>
      </c>
      <c r="N37" s="685">
        <f>ROUNDUP('HSZ do groszy'!N37,0)</f>
        <v>51841</v>
      </c>
      <c r="O37" s="687">
        <f>ROUNDUP('HSZ do groszy'!O37,0)</f>
        <v>0</v>
      </c>
      <c r="P37" s="688">
        <f>ROUNDUP('HSZ do groszy'!P37,0)</f>
        <v>0</v>
      </c>
      <c r="Q37" s="684">
        <f>ROUNDUP('HSZ do groszy'!Q37,0)</f>
        <v>0</v>
      </c>
      <c r="R37" s="685">
        <f>ROUNDUP('HSZ do groszy'!R37,0)</f>
        <v>0</v>
      </c>
      <c r="S37" s="687">
        <f>ROUNDUP('HSZ do groszy'!S37,0)</f>
        <v>0</v>
      </c>
      <c r="T37" s="688">
        <f>ROUNDUP('HSZ do groszy'!T37,0)</f>
        <v>0</v>
      </c>
      <c r="U37" s="684">
        <f>ROUNDUP('HSZ do groszy'!U37,0)</f>
        <v>0</v>
      </c>
      <c r="V37" s="685">
        <f>ROUNDUP('HSZ do groszy'!V37,0)</f>
        <v>0</v>
      </c>
      <c r="W37" s="687">
        <f>ROUNDUP('HSZ do groszy'!W37,0)</f>
        <v>0</v>
      </c>
      <c r="X37" s="688">
        <f>ROUNDUP('HSZ do groszy'!X37,0)</f>
        <v>0</v>
      </c>
      <c r="Y37" s="684">
        <f>ROUNDUP('HSZ do groszy'!Y37,0)</f>
        <v>0</v>
      </c>
      <c r="Z37" s="685">
        <f>ROUNDUP('HSZ do groszy'!Z37,0)</f>
        <v>0</v>
      </c>
      <c r="AA37" s="687">
        <f>ROUNDUP('HSZ do groszy'!AA37,0)</f>
        <v>0</v>
      </c>
      <c r="AB37" s="688">
        <f>ROUNDUP('HSZ do groszy'!AB37,0)</f>
        <v>0</v>
      </c>
      <c r="AC37" s="684">
        <f>ROUNDUP('HSZ do groszy'!AC37,0)</f>
        <v>0</v>
      </c>
      <c r="AD37" s="685">
        <f>ROUNDUP('HSZ do groszy'!AD37,0)</f>
        <v>0</v>
      </c>
      <c r="AE37" s="687">
        <f>ROUNDUP('HSZ do groszy'!AE37,0)</f>
        <v>0</v>
      </c>
      <c r="AF37" s="685">
        <f>ROUNDUP('HSZ do groszy'!AF37,0)</f>
        <v>0</v>
      </c>
      <c r="AG37" s="687">
        <f>ROUNDUP('HSZ do groszy'!AG37,0)</f>
        <v>0</v>
      </c>
      <c r="AH37" s="689">
        <f>ROUNDUP('HSZ do groszy'!AH37,0)</f>
        <v>0</v>
      </c>
      <c r="AI37" s="435"/>
      <c r="AJ37" s="435"/>
      <c r="AK37" s="690" t="str">
        <f t="shared" si="56"/>
        <v>ING Bank</v>
      </c>
      <c r="AL37" s="691">
        <f t="shared" si="56"/>
        <v>8900000</v>
      </c>
      <c r="AM37" s="692">
        <f>SUM($I37,$K37,$M37,$O37,$Q37,$S37,$U37,$W37,$Y37,$AA37,$AC37,$AE37,$AG37)</f>
        <v>8900000</v>
      </c>
      <c r="AN37" s="693">
        <f>SUM($J37,$L37,$N37,$P37,$R37,$T37,$V37,$X37,$Z37,$AB37,$AD37,$AF37,$AH37)</f>
        <v>918983</v>
      </c>
      <c r="AO37" s="685">
        <f>SUM(AM37,AN37)</f>
        <v>9818983</v>
      </c>
      <c r="AP37" s="692">
        <f>SUM($K37,$M37,$O37,$Q37,$S37,$U37,$W37,$Y37,$AA37,$AC37,$AE37,$AG37)</f>
        <v>5900000</v>
      </c>
      <c r="AQ37" s="693">
        <f>SUM($L37,$N37,$P37,$R37,$T37,$V37,$X37,$Z37,$AB37,$AD37,$AF37,$AH37)</f>
        <v>391158</v>
      </c>
      <c r="AR37" s="685">
        <f>SUM(AP37,AQ37)</f>
        <v>6291158</v>
      </c>
      <c r="AS37" s="692">
        <f>SUM($M37,$O37,$Q37,$S37,$U37,$W37,$Y37,$AA37,$AC37,$AE37,$AG37)</f>
        <v>900000</v>
      </c>
      <c r="AT37" s="693">
        <f>SUM($N37,$P37,$R37,$T37,$V37,$X37,$Z37,$AB37,$AD37,$AF37,$AH37)</f>
        <v>51841</v>
      </c>
      <c r="AU37" s="685">
        <f>SUM(AS37,AT37)</f>
        <v>951841</v>
      </c>
      <c r="AV37" s="692">
        <f t="shared" si="57"/>
        <v>0</v>
      </c>
      <c r="AW37" s="693">
        <f t="shared" si="58"/>
        <v>0</v>
      </c>
      <c r="AX37" s="685">
        <f>SUM(AV37,AW37)</f>
        <v>0</v>
      </c>
      <c r="AY37" s="692">
        <f t="shared" si="59"/>
        <v>0</v>
      </c>
      <c r="AZ37" s="693">
        <f t="shared" si="60"/>
        <v>0</v>
      </c>
      <c r="BA37" s="685">
        <f>SUM(AY37,AZ37)</f>
        <v>0</v>
      </c>
      <c r="BB37" s="692">
        <f t="shared" si="61"/>
        <v>0</v>
      </c>
      <c r="BC37" s="693">
        <f t="shared" si="62"/>
        <v>0</v>
      </c>
      <c r="BD37" s="685">
        <f>SUM(BB37,BC37)</f>
        <v>0</v>
      </c>
      <c r="BE37" s="692">
        <f t="shared" si="63"/>
        <v>0</v>
      </c>
      <c r="BF37" s="693">
        <f t="shared" si="64"/>
        <v>0</v>
      </c>
      <c r="BG37" s="685">
        <f>SUM(BE37,BF37)</f>
        <v>0</v>
      </c>
      <c r="BH37" s="692">
        <f t="shared" si="65"/>
        <v>0</v>
      </c>
      <c r="BI37" s="693">
        <f t="shared" si="66"/>
        <v>0</v>
      </c>
      <c r="BJ37" s="685">
        <f>SUM(BH37,BI37)</f>
        <v>0</v>
      </c>
      <c r="BK37" s="692">
        <f t="shared" si="67"/>
        <v>0</v>
      </c>
      <c r="BL37" s="693">
        <f t="shared" si="68"/>
        <v>0</v>
      </c>
      <c r="BM37" s="685">
        <f>SUM(BK37,BL37)</f>
        <v>0</v>
      </c>
      <c r="BN37" s="692">
        <f t="shared" si="69"/>
        <v>0</v>
      </c>
      <c r="BO37" s="693">
        <f t="shared" si="70"/>
        <v>0</v>
      </c>
      <c r="BP37" s="685">
        <f t="shared" si="71"/>
        <v>0</v>
      </c>
      <c r="BQ37" s="692">
        <f t="shared" si="72"/>
        <v>0</v>
      </c>
      <c r="BR37" s="693">
        <f t="shared" si="73"/>
        <v>0</v>
      </c>
      <c r="BS37" s="685">
        <f t="shared" si="74"/>
        <v>0</v>
      </c>
      <c r="BT37" s="692">
        <f t="shared" si="75"/>
        <v>0</v>
      </c>
      <c r="BU37" s="693">
        <f t="shared" si="76"/>
        <v>0</v>
      </c>
      <c r="BV37" s="685">
        <f t="shared" si="77"/>
        <v>0</v>
      </c>
      <c r="BW37" s="692">
        <f t="shared" si="78"/>
        <v>0</v>
      </c>
      <c r="BX37" s="693">
        <f t="shared" si="79"/>
        <v>0</v>
      </c>
      <c r="BY37" s="685">
        <f t="shared" si="80"/>
        <v>0</v>
      </c>
      <c r="BZ37" s="435"/>
    </row>
    <row r="38" spans="1:78">
      <c r="A38" s="696" t="str">
        <f>'HSZ do groszy'!A38</f>
        <v>Nordea Bank 2010</v>
      </c>
      <c r="B38" s="697">
        <f>ROUNDUP('HSZ do groszy'!B38,0)</f>
        <v>16000000</v>
      </c>
      <c r="C38" s="684">
        <f>ROUNDUP('HSZ do groszy'!C38,0)</f>
        <v>0</v>
      </c>
      <c r="D38" s="685">
        <f>ROUNDUP('HSZ do groszy'!D38,0)</f>
        <v>818619</v>
      </c>
      <c r="E38" s="856">
        <f t="shared" si="54"/>
        <v>16000000</v>
      </c>
      <c r="F38" s="686">
        <f t="shared" si="55"/>
        <v>4163445</v>
      </c>
      <c r="G38" s="684">
        <f>ROUNDUP('HSZ do groszy'!G38,0)</f>
        <v>0</v>
      </c>
      <c r="H38" s="685">
        <f>ROUNDUP('HSZ do groszy'!H38,0)</f>
        <v>818619</v>
      </c>
      <c r="I38" s="684">
        <f>ROUNDUP('HSZ do groszy'!I38,0)</f>
        <v>0</v>
      </c>
      <c r="J38" s="685">
        <f>ROUNDUP('HSZ do groszy'!J38,0)</f>
        <v>818619</v>
      </c>
      <c r="K38" s="687">
        <f>ROUNDUP('HSZ do groszy'!K38,0)</f>
        <v>0</v>
      </c>
      <c r="L38" s="688">
        <f>ROUNDUP('HSZ do groszy'!L38,0)</f>
        <v>818619</v>
      </c>
      <c r="M38" s="684">
        <f>ROUNDUP('HSZ do groszy'!M38,0)</f>
        <v>5000000</v>
      </c>
      <c r="N38" s="685">
        <f>ROUNDUP('HSZ do groszy'!N38,0)</f>
        <v>818619</v>
      </c>
      <c r="O38" s="687">
        <f>ROUNDUP('HSZ do groszy'!O38,0)</f>
        <v>5500000</v>
      </c>
      <c r="P38" s="688">
        <f>ROUNDUP('HSZ do groszy'!P38,0)</f>
        <v>562800</v>
      </c>
      <c r="Q38" s="684">
        <f>ROUNDUP('HSZ do groszy'!Q38,0)</f>
        <v>5500000</v>
      </c>
      <c r="R38" s="685">
        <f>ROUNDUP('HSZ do groszy'!R38,0)</f>
        <v>326169</v>
      </c>
      <c r="S38" s="687">
        <f>ROUNDUP('HSZ do groszy'!S38,0)</f>
        <v>0</v>
      </c>
      <c r="T38" s="688">
        <f>ROUNDUP('HSZ do groszy'!T38,0)</f>
        <v>0</v>
      </c>
      <c r="U38" s="684">
        <f>ROUNDUP('HSZ do groszy'!U38,0)</f>
        <v>0</v>
      </c>
      <c r="V38" s="685">
        <f>ROUNDUP('HSZ do groszy'!V38,0)</f>
        <v>0</v>
      </c>
      <c r="W38" s="687">
        <f>ROUNDUP('HSZ do groszy'!W38,0)</f>
        <v>0</v>
      </c>
      <c r="X38" s="688">
        <f>ROUNDUP('HSZ do groszy'!X38,0)</f>
        <v>0</v>
      </c>
      <c r="Y38" s="684">
        <f>ROUNDUP('HSZ do groszy'!Y38,0)</f>
        <v>0</v>
      </c>
      <c r="Z38" s="685">
        <f>ROUNDUP('HSZ do groszy'!Z38,0)</f>
        <v>0</v>
      </c>
      <c r="AA38" s="687">
        <f>ROUNDUP('HSZ do groszy'!AA38,0)</f>
        <v>0</v>
      </c>
      <c r="AB38" s="688">
        <f>ROUNDUP('HSZ do groszy'!AB38,0)</f>
        <v>0</v>
      </c>
      <c r="AC38" s="684">
        <f>ROUNDUP('HSZ do groszy'!AC38,0)</f>
        <v>0</v>
      </c>
      <c r="AD38" s="685">
        <f>ROUNDUP('HSZ do groszy'!AD38,0)</f>
        <v>0</v>
      </c>
      <c r="AE38" s="687">
        <f>ROUNDUP('HSZ do groszy'!AE38,0)</f>
        <v>0</v>
      </c>
      <c r="AF38" s="685">
        <f>ROUNDUP('HSZ do groszy'!AF38,0)</f>
        <v>0</v>
      </c>
      <c r="AG38" s="687">
        <f>ROUNDUP('HSZ do groszy'!AG38,0)</f>
        <v>0</v>
      </c>
      <c r="AH38" s="689">
        <f>ROUNDUP('HSZ do groszy'!AH38,0)</f>
        <v>0</v>
      </c>
      <c r="AI38" s="435"/>
      <c r="AJ38" s="435"/>
      <c r="AK38" s="690" t="str">
        <f t="shared" si="56"/>
        <v>Nordea Bank 2010</v>
      </c>
      <c r="AL38" s="691">
        <f t="shared" si="56"/>
        <v>16000000</v>
      </c>
      <c r="AM38" s="692">
        <f>SUM($I38,$K38,$M38,$O38,$Q38,$S38,$U38,$W38,$Y38,$AA38,$AC38,$AE38,$AG38)</f>
        <v>16000000</v>
      </c>
      <c r="AN38" s="693">
        <f>SUM($J38,$L38,$N38,$P38,$R38,$T38,$V38,$X38,$Z38,$AB38,$AD38,$AF38,$AH38)</f>
        <v>3344826</v>
      </c>
      <c r="AO38" s="685">
        <f>SUM(AM38,AN38)</f>
        <v>19344826</v>
      </c>
      <c r="AP38" s="692">
        <f>SUM($K38,$M38,$O38,$Q38,$S38,$U38,$W38,$Y38,$AA38,$AC38,$AE38,$AG38)</f>
        <v>16000000</v>
      </c>
      <c r="AQ38" s="693">
        <f>SUM($L38,$N38,$P38,$R38,$T38,$V38,$X38,$Z38,$AB38,$AD38,$AF38,$AH38)</f>
        <v>2526207</v>
      </c>
      <c r="AR38" s="685">
        <f>SUM(AP38,AQ38)</f>
        <v>18526207</v>
      </c>
      <c r="AS38" s="692">
        <f>SUM($M38,$O38,$Q38,$S38,$U38,$W38,$Y38,$AA38,$AC38,$AE38,$AG38)</f>
        <v>16000000</v>
      </c>
      <c r="AT38" s="693">
        <f>SUM($N38,$P38,$R38,$T38,$V38,$X38,$Z38,$AB38,$AD38,$AF38,$AH38)</f>
        <v>1707588</v>
      </c>
      <c r="AU38" s="685">
        <f>SUM(AS38,AT38)</f>
        <v>17707588</v>
      </c>
      <c r="AV38" s="692">
        <f t="shared" si="57"/>
        <v>11000000</v>
      </c>
      <c r="AW38" s="693">
        <f t="shared" si="58"/>
        <v>888969</v>
      </c>
      <c r="AX38" s="685">
        <f>SUM(AV38,AW38)</f>
        <v>11888969</v>
      </c>
      <c r="AY38" s="692">
        <f t="shared" si="59"/>
        <v>5500000</v>
      </c>
      <c r="AZ38" s="693">
        <f t="shared" si="60"/>
        <v>326169</v>
      </c>
      <c r="BA38" s="685">
        <f>SUM(AY38,AZ38)</f>
        <v>5826169</v>
      </c>
      <c r="BB38" s="692">
        <f t="shared" si="61"/>
        <v>0</v>
      </c>
      <c r="BC38" s="693">
        <f t="shared" si="62"/>
        <v>0</v>
      </c>
      <c r="BD38" s="685">
        <f>SUM(BB38,BC38)</f>
        <v>0</v>
      </c>
      <c r="BE38" s="692">
        <f t="shared" si="63"/>
        <v>0</v>
      </c>
      <c r="BF38" s="693">
        <f t="shared" si="64"/>
        <v>0</v>
      </c>
      <c r="BG38" s="685">
        <f>SUM(BE38,BF38)</f>
        <v>0</v>
      </c>
      <c r="BH38" s="692">
        <f t="shared" si="65"/>
        <v>0</v>
      </c>
      <c r="BI38" s="693">
        <f t="shared" si="66"/>
        <v>0</v>
      </c>
      <c r="BJ38" s="685">
        <f>SUM(BH38,BI38)</f>
        <v>0</v>
      </c>
      <c r="BK38" s="692">
        <f t="shared" si="67"/>
        <v>0</v>
      </c>
      <c r="BL38" s="693">
        <f t="shared" si="68"/>
        <v>0</v>
      </c>
      <c r="BM38" s="685">
        <f>SUM(BK38,BL38)</f>
        <v>0</v>
      </c>
      <c r="BN38" s="692">
        <f t="shared" si="69"/>
        <v>0</v>
      </c>
      <c r="BO38" s="693">
        <f t="shared" si="70"/>
        <v>0</v>
      </c>
      <c r="BP38" s="685">
        <f t="shared" si="71"/>
        <v>0</v>
      </c>
      <c r="BQ38" s="692">
        <f t="shared" si="72"/>
        <v>0</v>
      </c>
      <c r="BR38" s="693">
        <f t="shared" si="73"/>
        <v>0</v>
      </c>
      <c r="BS38" s="685">
        <f t="shared" si="74"/>
        <v>0</v>
      </c>
      <c r="BT38" s="692">
        <f t="shared" si="75"/>
        <v>0</v>
      </c>
      <c r="BU38" s="693">
        <f t="shared" si="76"/>
        <v>0</v>
      </c>
      <c r="BV38" s="685">
        <f t="shared" si="77"/>
        <v>0</v>
      </c>
      <c r="BW38" s="692">
        <f t="shared" si="78"/>
        <v>0</v>
      </c>
      <c r="BX38" s="693">
        <f t="shared" si="79"/>
        <v>0</v>
      </c>
      <c r="BY38" s="685">
        <f t="shared" si="80"/>
        <v>0</v>
      </c>
      <c r="BZ38" s="435"/>
    </row>
    <row r="39" spans="1:78">
      <c r="A39" s="698" t="str">
        <f>'HSZ do groszy'!A39</f>
        <v>Nordea Bank 2011</v>
      </c>
      <c r="B39" s="697">
        <f>ROUNDUP('HSZ do groszy'!B39,0)</f>
        <v>10000000</v>
      </c>
      <c r="C39" s="684">
        <f>ROUNDUP('HSZ do groszy'!C39,0)</f>
        <v>0</v>
      </c>
      <c r="D39" s="685">
        <f>ROUNDUP('HSZ do groszy'!D39,0)</f>
        <v>0</v>
      </c>
      <c r="E39" s="856">
        <f t="shared" si="54"/>
        <v>10000000</v>
      </c>
      <c r="F39" s="686">
        <f t="shared" si="55"/>
        <v>3483395</v>
      </c>
      <c r="G39" s="684">
        <f>ROUNDUP('HSZ do groszy'!G39,0)</f>
        <v>0</v>
      </c>
      <c r="H39" s="685">
        <f>ROUNDUP('HSZ do groszy'!H39,0)</f>
        <v>511637</v>
      </c>
      <c r="I39" s="684">
        <f>ROUNDUP('HSZ do groszy'!I39,0)</f>
        <v>500000</v>
      </c>
      <c r="J39" s="685">
        <f>ROUNDUP('HSZ do groszy'!J39,0)</f>
        <v>511637</v>
      </c>
      <c r="K39" s="687">
        <f>ROUNDUP('HSZ do groszy'!K39,0)</f>
        <v>500000</v>
      </c>
      <c r="L39" s="688">
        <f>ROUNDUP('HSZ do groszy'!L39,0)</f>
        <v>486055</v>
      </c>
      <c r="M39" s="684">
        <f>ROUNDUP('HSZ do groszy'!M39,0)</f>
        <v>0</v>
      </c>
      <c r="N39" s="685">
        <f>ROUNDUP('HSZ do groszy'!N39,0)</f>
        <v>460473</v>
      </c>
      <c r="O39" s="687">
        <f>ROUNDUP('HSZ do groszy'!O39,0)</f>
        <v>500000</v>
      </c>
      <c r="P39" s="688">
        <f>ROUNDUP('HSZ do groszy'!P39,0)</f>
        <v>460473</v>
      </c>
      <c r="Q39" s="684">
        <f>ROUNDUP('HSZ do groszy'!Q39,0)</f>
        <v>500000</v>
      </c>
      <c r="R39" s="685">
        <f>ROUNDUP('HSZ do groszy'!R39,0)</f>
        <v>439155</v>
      </c>
      <c r="S39" s="687">
        <f>ROUNDUP('HSZ do groszy'!S39,0)</f>
        <v>4000000</v>
      </c>
      <c r="T39" s="688">
        <f>ROUNDUP('HSZ do groszy'!T39,0)</f>
        <v>409310</v>
      </c>
      <c r="U39" s="684">
        <f>ROUNDUP('HSZ do groszy'!U39,0)</f>
        <v>4000000</v>
      </c>
      <c r="V39" s="685">
        <f>ROUNDUP('HSZ do groszy'!V39,0)</f>
        <v>204655</v>
      </c>
      <c r="W39" s="687">
        <f>ROUNDUP('HSZ do groszy'!W39,0)</f>
        <v>0</v>
      </c>
      <c r="X39" s="688">
        <f>ROUNDUP('HSZ do groszy'!X39,0)</f>
        <v>0</v>
      </c>
      <c r="Y39" s="684">
        <f>ROUNDUP('HSZ do groszy'!Y39,0)</f>
        <v>0</v>
      </c>
      <c r="Z39" s="685">
        <f>ROUNDUP('HSZ do groszy'!Z39,0)</f>
        <v>0</v>
      </c>
      <c r="AA39" s="687">
        <f>ROUNDUP('HSZ do groszy'!AA39,0)</f>
        <v>0</v>
      </c>
      <c r="AB39" s="688">
        <f>ROUNDUP('HSZ do groszy'!AB39,0)</f>
        <v>0</v>
      </c>
      <c r="AC39" s="684">
        <f>ROUNDUP('HSZ do groszy'!AC39,0)</f>
        <v>0</v>
      </c>
      <c r="AD39" s="685">
        <f>ROUNDUP('HSZ do groszy'!AD39,0)</f>
        <v>0</v>
      </c>
      <c r="AE39" s="687">
        <f>ROUNDUP('HSZ do groszy'!AE39,0)</f>
        <v>0</v>
      </c>
      <c r="AF39" s="685">
        <f>ROUNDUP('HSZ do groszy'!AF39,0)</f>
        <v>0</v>
      </c>
      <c r="AG39" s="687">
        <f>ROUNDUP('HSZ do groszy'!AG39,0)</f>
        <v>0</v>
      </c>
      <c r="AH39" s="689">
        <f>ROUNDUP('HSZ do groszy'!AH39,0)</f>
        <v>0</v>
      </c>
      <c r="AI39" s="435"/>
      <c r="AJ39" s="435"/>
      <c r="AK39" s="690" t="str">
        <f t="shared" si="56"/>
        <v>Nordea Bank 2011</v>
      </c>
      <c r="AL39" s="691">
        <f t="shared" si="56"/>
        <v>10000000</v>
      </c>
      <c r="AM39" s="692">
        <f>SUM($I39,$K39,$M39,$O39,$Q39,$S39,$U39,$W39,$Y39,$AA39,$AC39,$AE39,$AG39)</f>
        <v>10000000</v>
      </c>
      <c r="AN39" s="693">
        <f>SUM($J39,$L39,$N39,$P39,$R39,$T39,$V39,$X39,$Z39,$AB39,$AD39,$AF39,$AH39)</f>
        <v>2971758</v>
      </c>
      <c r="AO39" s="685">
        <f>SUM(AM39,AN39)</f>
        <v>12971758</v>
      </c>
      <c r="AP39" s="692">
        <f>SUM($K39,$M39,$O39,$Q39,$S39,$U39,$W39,$Y39,$AA39,$AC39,$AE39,$AG39)</f>
        <v>9500000</v>
      </c>
      <c r="AQ39" s="693">
        <f>SUM($L39,$N39,$P39,$R39,$T39,$V39,$X39,$Z39,$AB39,$AD39,$AF39,$AH39)</f>
        <v>2460121</v>
      </c>
      <c r="AR39" s="685">
        <f>SUM(AP39,AQ39)</f>
        <v>11960121</v>
      </c>
      <c r="AS39" s="692">
        <f>SUM($M39,$O39,$Q39,$S39,$U39,$W39,$Y39,$AA39,$AC39,$AE39,$AG39)</f>
        <v>9000000</v>
      </c>
      <c r="AT39" s="693">
        <f>SUM($N39,$P39,$R39,$T39,$V39,$X39,$Z39,$AB39,$AD39,$AF39,$AH39)</f>
        <v>1974066</v>
      </c>
      <c r="AU39" s="685">
        <f>SUM(AS39,AT39)</f>
        <v>10974066</v>
      </c>
      <c r="AV39" s="692">
        <f t="shared" si="57"/>
        <v>9000000</v>
      </c>
      <c r="AW39" s="693">
        <f t="shared" si="58"/>
        <v>1513593</v>
      </c>
      <c r="AX39" s="685">
        <f>SUM(AV39,AW39)</f>
        <v>10513593</v>
      </c>
      <c r="AY39" s="692">
        <f t="shared" si="59"/>
        <v>8500000</v>
      </c>
      <c r="AZ39" s="693">
        <f t="shared" si="60"/>
        <v>1053120</v>
      </c>
      <c r="BA39" s="685">
        <f>SUM(AY39,AZ39)</f>
        <v>9553120</v>
      </c>
      <c r="BB39" s="692">
        <f t="shared" si="61"/>
        <v>8000000</v>
      </c>
      <c r="BC39" s="693">
        <f t="shared" si="62"/>
        <v>613965</v>
      </c>
      <c r="BD39" s="685">
        <f>SUM(BB39,BC39)</f>
        <v>8613965</v>
      </c>
      <c r="BE39" s="692">
        <f t="shared" si="63"/>
        <v>4000000</v>
      </c>
      <c r="BF39" s="693">
        <f t="shared" si="64"/>
        <v>204655</v>
      </c>
      <c r="BG39" s="685">
        <f>SUM(BE39,BF39)</f>
        <v>4204655</v>
      </c>
      <c r="BH39" s="692">
        <f t="shared" si="65"/>
        <v>0</v>
      </c>
      <c r="BI39" s="693">
        <f t="shared" si="66"/>
        <v>0</v>
      </c>
      <c r="BJ39" s="685">
        <f>SUM(BH39,BI39)</f>
        <v>0</v>
      </c>
      <c r="BK39" s="692">
        <f t="shared" si="67"/>
        <v>0</v>
      </c>
      <c r="BL39" s="693">
        <f t="shared" si="68"/>
        <v>0</v>
      </c>
      <c r="BM39" s="685">
        <f>SUM(BK39,BL39)</f>
        <v>0</v>
      </c>
      <c r="BN39" s="692">
        <f t="shared" si="69"/>
        <v>0</v>
      </c>
      <c r="BO39" s="693">
        <f t="shared" si="70"/>
        <v>0</v>
      </c>
      <c r="BP39" s="685">
        <f t="shared" si="71"/>
        <v>0</v>
      </c>
      <c r="BQ39" s="692">
        <f t="shared" si="72"/>
        <v>0</v>
      </c>
      <c r="BR39" s="693">
        <f t="shared" si="73"/>
        <v>0</v>
      </c>
      <c r="BS39" s="685">
        <f t="shared" si="74"/>
        <v>0</v>
      </c>
      <c r="BT39" s="692">
        <f t="shared" si="75"/>
        <v>0</v>
      </c>
      <c r="BU39" s="693">
        <f t="shared" si="76"/>
        <v>0</v>
      </c>
      <c r="BV39" s="685">
        <f t="shared" si="77"/>
        <v>0</v>
      </c>
      <c r="BW39" s="692">
        <f t="shared" si="78"/>
        <v>0</v>
      </c>
      <c r="BX39" s="693">
        <f t="shared" si="79"/>
        <v>0</v>
      </c>
      <c r="BY39" s="685">
        <f t="shared" si="80"/>
        <v>0</v>
      </c>
      <c r="BZ39" s="435"/>
    </row>
    <row r="40" spans="1:78">
      <c r="A40" s="698"/>
      <c r="B40" s="697"/>
      <c r="C40" s="684"/>
      <c r="D40" s="685"/>
      <c r="E40" s="856"/>
      <c r="F40" s="686"/>
      <c r="G40" s="684"/>
      <c r="H40" s="685"/>
      <c r="I40" s="684"/>
      <c r="J40" s="685"/>
      <c r="K40" s="687"/>
      <c r="L40" s="688"/>
      <c r="M40" s="684"/>
      <c r="N40" s="685"/>
      <c r="O40" s="687"/>
      <c r="P40" s="688"/>
      <c r="Q40" s="684"/>
      <c r="R40" s="685"/>
      <c r="S40" s="687"/>
      <c r="T40" s="688"/>
      <c r="U40" s="684"/>
      <c r="V40" s="685"/>
      <c r="W40" s="687"/>
      <c r="X40" s="688"/>
      <c r="Y40" s="684"/>
      <c r="Z40" s="685"/>
      <c r="AA40" s="687"/>
      <c r="AB40" s="688"/>
      <c r="AC40" s="684"/>
      <c r="AD40" s="685"/>
      <c r="AE40" s="687"/>
      <c r="AF40" s="685"/>
      <c r="AG40" s="687"/>
      <c r="AH40" s="689"/>
      <c r="AI40" s="435"/>
      <c r="AJ40" s="435"/>
      <c r="AK40" s="690"/>
      <c r="AL40" s="691"/>
      <c r="AM40" s="692"/>
      <c r="AN40" s="693"/>
      <c r="AO40" s="685"/>
      <c r="AP40" s="692"/>
      <c r="AQ40" s="693"/>
      <c r="AR40" s="685"/>
      <c r="AS40" s="692"/>
      <c r="AT40" s="693"/>
      <c r="AU40" s="685"/>
      <c r="AV40" s="692"/>
      <c r="AW40" s="693"/>
      <c r="AX40" s="685"/>
      <c r="AY40" s="692"/>
      <c r="AZ40" s="693"/>
      <c r="BA40" s="685"/>
      <c r="BB40" s="692"/>
      <c r="BC40" s="693"/>
      <c r="BD40" s="685"/>
      <c r="BE40" s="692"/>
      <c r="BF40" s="693"/>
      <c r="BG40" s="685"/>
      <c r="BH40" s="692"/>
      <c r="BI40" s="693"/>
      <c r="BJ40" s="685"/>
      <c r="BK40" s="692"/>
      <c r="BL40" s="693"/>
      <c r="BM40" s="685"/>
      <c r="BN40" s="692"/>
      <c r="BO40" s="693"/>
      <c r="BP40" s="685"/>
      <c r="BQ40" s="692"/>
      <c r="BR40" s="693"/>
      <c r="BS40" s="685"/>
      <c r="BT40" s="692"/>
      <c r="BU40" s="693"/>
      <c r="BV40" s="685"/>
      <c r="BW40" s="692"/>
      <c r="BX40" s="693"/>
      <c r="BY40" s="685"/>
      <c r="BZ40" s="435"/>
    </row>
    <row r="41" spans="1:78" s="834" customFormat="1">
      <c r="A41" s="843"/>
      <c r="B41" s="844"/>
      <c r="C41" s="845"/>
      <c r="D41" s="846"/>
      <c r="E41" s="858"/>
      <c r="F41" s="847"/>
      <c r="G41" s="845">
        <f>SUM(G35:G39)</f>
        <v>6300000</v>
      </c>
      <c r="H41" s="846">
        <f t="shared" ref="H41:AH41" si="81">SUM(H35:H39)</f>
        <v>2096896</v>
      </c>
      <c r="I41" s="845">
        <f t="shared" si="81"/>
        <v>5500000</v>
      </c>
      <c r="J41" s="846">
        <f t="shared" si="81"/>
        <v>1931172</v>
      </c>
      <c r="K41" s="848">
        <f t="shared" si="81"/>
        <v>5500000</v>
      </c>
      <c r="L41" s="849">
        <f t="shared" si="81"/>
        <v>1643991</v>
      </c>
      <c r="M41" s="845">
        <f t="shared" si="81"/>
        <v>5900000</v>
      </c>
      <c r="N41" s="846">
        <f t="shared" si="81"/>
        <v>1330933</v>
      </c>
      <c r="O41" s="848">
        <f t="shared" si="81"/>
        <v>6000000</v>
      </c>
      <c r="P41" s="849">
        <f t="shared" si="81"/>
        <v>1023273</v>
      </c>
      <c r="Q41" s="845">
        <f t="shared" si="81"/>
        <v>6000000</v>
      </c>
      <c r="R41" s="846">
        <f t="shared" si="81"/>
        <v>765324</v>
      </c>
      <c r="S41" s="848">
        <f t="shared" si="81"/>
        <v>4000000</v>
      </c>
      <c r="T41" s="849">
        <f t="shared" si="81"/>
        <v>409310</v>
      </c>
      <c r="U41" s="845">
        <f t="shared" si="81"/>
        <v>4000000</v>
      </c>
      <c r="V41" s="846">
        <f t="shared" si="81"/>
        <v>204655</v>
      </c>
      <c r="W41" s="848">
        <f t="shared" si="81"/>
        <v>0</v>
      </c>
      <c r="X41" s="849">
        <f t="shared" si="81"/>
        <v>0</v>
      </c>
      <c r="Y41" s="845">
        <f t="shared" si="81"/>
        <v>0</v>
      </c>
      <c r="Z41" s="846">
        <f t="shared" si="81"/>
        <v>0</v>
      </c>
      <c r="AA41" s="848">
        <f t="shared" si="81"/>
        <v>0</v>
      </c>
      <c r="AB41" s="849">
        <f t="shared" si="81"/>
        <v>0</v>
      </c>
      <c r="AC41" s="845">
        <f t="shared" si="81"/>
        <v>0</v>
      </c>
      <c r="AD41" s="846">
        <f t="shared" si="81"/>
        <v>0</v>
      </c>
      <c r="AE41" s="848">
        <f t="shared" si="81"/>
        <v>0</v>
      </c>
      <c r="AF41" s="846">
        <f t="shared" si="81"/>
        <v>0</v>
      </c>
      <c r="AG41" s="848">
        <f t="shared" si="81"/>
        <v>0</v>
      </c>
      <c r="AH41" s="850">
        <f t="shared" si="81"/>
        <v>0</v>
      </c>
      <c r="AI41" s="851"/>
      <c r="AJ41" s="851"/>
      <c r="AK41" s="852"/>
      <c r="AL41" s="853"/>
      <c r="AM41" s="854"/>
      <c r="AN41" s="855"/>
      <c r="AO41" s="846"/>
      <c r="AP41" s="854"/>
      <c r="AQ41" s="855"/>
      <c r="AR41" s="846"/>
      <c r="AS41" s="854"/>
      <c r="AT41" s="855"/>
      <c r="AU41" s="846"/>
      <c r="AV41" s="854"/>
      <c r="AW41" s="855"/>
      <c r="AX41" s="846"/>
      <c r="AY41" s="854"/>
      <c r="AZ41" s="855"/>
      <c r="BA41" s="846"/>
      <c r="BB41" s="854"/>
      <c r="BC41" s="855"/>
      <c r="BD41" s="846"/>
      <c r="BE41" s="854"/>
      <c r="BF41" s="855"/>
      <c r="BG41" s="846"/>
      <c r="BH41" s="854"/>
      <c r="BI41" s="855"/>
      <c r="BJ41" s="846"/>
      <c r="BK41" s="854"/>
      <c r="BL41" s="855"/>
      <c r="BM41" s="846"/>
      <c r="BN41" s="854"/>
      <c r="BO41" s="855"/>
      <c r="BP41" s="846"/>
      <c r="BQ41" s="854"/>
      <c r="BR41" s="855"/>
      <c r="BS41" s="846"/>
      <c r="BT41" s="854"/>
      <c r="BU41" s="855"/>
      <c r="BV41" s="846"/>
      <c r="BW41" s="854"/>
      <c r="BX41" s="855"/>
      <c r="BY41" s="846"/>
      <c r="BZ41" s="851"/>
    </row>
    <row r="42" spans="1:78">
      <c r="A42" s="698"/>
      <c r="B42" s="697">
        <f>ROUNDUP('HSZ do groszy'!B42,0)</f>
        <v>0</v>
      </c>
      <c r="C42" s="684">
        <f>ROUNDUP('HSZ do groszy'!C42,0)</f>
        <v>0</v>
      </c>
      <c r="D42" s="685">
        <f>ROUNDUP('HSZ do groszy'!D42,0)</f>
        <v>0</v>
      </c>
      <c r="E42" s="856">
        <f t="shared" si="54"/>
        <v>0</v>
      </c>
      <c r="F42" s="686">
        <f t="shared" si="55"/>
        <v>0</v>
      </c>
      <c r="G42" s="684">
        <f>ROUNDUP('HSZ do groszy'!G42,0)</f>
        <v>0</v>
      </c>
      <c r="H42" s="685">
        <f>ROUNDUP('HSZ do groszy'!H42,0)</f>
        <v>0</v>
      </c>
      <c r="I42" s="684">
        <f>ROUNDUP('HSZ do groszy'!I42,0)</f>
        <v>0</v>
      </c>
      <c r="J42" s="685">
        <f>ROUNDUP('HSZ do groszy'!J42,0)</f>
        <v>0</v>
      </c>
      <c r="K42" s="687">
        <f>ROUNDUP('HSZ do groszy'!K42,0)</f>
        <v>0</v>
      </c>
      <c r="L42" s="688">
        <f>ROUNDUP('HSZ do groszy'!L42,0)</f>
        <v>0</v>
      </c>
      <c r="M42" s="684">
        <f>ROUNDUP('HSZ do groszy'!M42,0)</f>
        <v>0</v>
      </c>
      <c r="N42" s="685">
        <f>ROUNDUP('HSZ do groszy'!N42,0)</f>
        <v>0</v>
      </c>
      <c r="O42" s="687">
        <f>ROUNDUP('HSZ do groszy'!O42,0)</f>
        <v>0</v>
      </c>
      <c r="P42" s="688">
        <f>ROUNDUP('HSZ do groszy'!P42,0)</f>
        <v>0</v>
      </c>
      <c r="Q42" s="684">
        <f>ROUNDUP('HSZ do groszy'!Q42,0)</f>
        <v>0</v>
      </c>
      <c r="R42" s="685">
        <f>ROUNDUP('HSZ do groszy'!R42,0)</f>
        <v>0</v>
      </c>
      <c r="S42" s="687">
        <f>ROUNDUP('HSZ do groszy'!S42,0)</f>
        <v>0</v>
      </c>
      <c r="T42" s="688">
        <f>ROUNDUP('HSZ do groszy'!T42,0)</f>
        <v>0</v>
      </c>
      <c r="U42" s="684">
        <f>ROUNDUP('HSZ do groszy'!U42,0)</f>
        <v>0</v>
      </c>
      <c r="V42" s="685">
        <f>ROUNDUP('HSZ do groszy'!V42,0)</f>
        <v>0</v>
      </c>
      <c r="W42" s="687">
        <f>ROUNDUP('HSZ do groszy'!W42,0)</f>
        <v>0</v>
      </c>
      <c r="X42" s="688">
        <f>ROUNDUP('HSZ do groszy'!X42,0)</f>
        <v>0</v>
      </c>
      <c r="Y42" s="684">
        <f>ROUNDUP('HSZ do groszy'!Y42,0)</f>
        <v>0</v>
      </c>
      <c r="Z42" s="685">
        <f>ROUNDUP('HSZ do groszy'!Z42,0)</f>
        <v>0</v>
      </c>
      <c r="AA42" s="687">
        <f>ROUNDUP('HSZ do groszy'!AA42,0)</f>
        <v>0</v>
      </c>
      <c r="AB42" s="688">
        <f>ROUNDUP('HSZ do groszy'!AB42,0)</f>
        <v>0</v>
      </c>
      <c r="AC42" s="684">
        <f>ROUNDUP('HSZ do groszy'!AC42,0)</f>
        <v>0</v>
      </c>
      <c r="AD42" s="685">
        <f>ROUNDUP('HSZ do groszy'!AD42,0)</f>
        <v>0</v>
      </c>
      <c r="AE42" s="687">
        <f>ROUNDUP('HSZ do groszy'!AE42,0)</f>
        <v>0</v>
      </c>
      <c r="AF42" s="685">
        <f>ROUNDUP('HSZ do groszy'!AF42,0)</f>
        <v>0</v>
      </c>
      <c r="AG42" s="687">
        <f>ROUNDUP('HSZ do groszy'!AG42,0)</f>
        <v>0</v>
      </c>
      <c r="AH42" s="689">
        <f>ROUNDUP('HSZ do groszy'!AH42,0)</f>
        <v>0</v>
      </c>
      <c r="AI42" s="435"/>
      <c r="AJ42" s="435"/>
      <c r="AK42" s="690"/>
      <c r="AL42" s="691"/>
      <c r="AM42" s="692"/>
      <c r="AN42" s="693"/>
      <c r="AO42" s="685"/>
      <c r="AP42" s="692"/>
      <c r="AQ42" s="693"/>
      <c r="AR42" s="685"/>
      <c r="AS42" s="692"/>
      <c r="AT42" s="693"/>
      <c r="AU42" s="685"/>
      <c r="AV42" s="692"/>
      <c r="AW42" s="693"/>
      <c r="AX42" s="685"/>
      <c r="AY42" s="692"/>
      <c r="AZ42" s="693"/>
      <c r="BA42" s="685"/>
      <c r="BB42" s="692"/>
      <c r="BC42" s="693"/>
      <c r="BD42" s="685"/>
      <c r="BE42" s="692"/>
      <c r="BF42" s="693"/>
      <c r="BG42" s="685"/>
      <c r="BH42" s="692"/>
      <c r="BI42" s="693"/>
      <c r="BJ42" s="685"/>
      <c r="BK42" s="692"/>
      <c r="BL42" s="693"/>
      <c r="BM42" s="685"/>
      <c r="BN42" s="692"/>
      <c r="BO42" s="693"/>
      <c r="BP42" s="685"/>
      <c r="BQ42" s="692"/>
      <c r="BR42" s="693"/>
      <c r="BS42" s="685"/>
      <c r="BT42" s="692"/>
      <c r="BU42" s="693"/>
      <c r="BV42" s="685"/>
      <c r="BW42" s="692"/>
      <c r="BX42" s="693"/>
      <c r="BY42" s="685"/>
      <c r="BZ42" s="435"/>
    </row>
    <row r="43" spans="1:78" s="874" customFormat="1">
      <c r="A43" s="860" t="str">
        <f>'HSZ do groszy'!A43</f>
        <v>Obligacje 2012</v>
      </c>
      <c r="B43" s="861">
        <f>ROUNDUP('HSZ do groszy'!B43,0)</f>
        <v>7000000</v>
      </c>
      <c r="C43" s="862">
        <f>ROUNDUP('HSZ do groszy'!C43,0)</f>
        <v>0</v>
      </c>
      <c r="D43" s="863">
        <f>ROUNDUP('HSZ do groszy'!D43,0)</f>
        <v>0</v>
      </c>
      <c r="E43" s="864">
        <f t="shared" si="54"/>
        <v>7000000</v>
      </c>
      <c r="F43" s="865">
        <f t="shared" si="55"/>
        <v>2566249</v>
      </c>
      <c r="G43" s="862">
        <f>ROUNDUP('HSZ do groszy'!G43,0)</f>
        <v>0</v>
      </c>
      <c r="H43" s="863">
        <f>ROUNDUP('HSZ do groszy'!H43,0)</f>
        <v>0</v>
      </c>
      <c r="I43" s="862">
        <f>ROUNDUP('HSZ do groszy'!I43,0)</f>
        <v>0</v>
      </c>
      <c r="J43" s="863">
        <f>ROUNDUP('HSZ do groszy'!J43,0)</f>
        <v>358088</v>
      </c>
      <c r="K43" s="866">
        <f>ROUNDUP('HSZ do groszy'!K43,0)</f>
        <v>0</v>
      </c>
      <c r="L43" s="867">
        <f>ROUNDUP('HSZ do groszy'!L43,0)</f>
        <v>358088</v>
      </c>
      <c r="M43" s="862">
        <f>ROUNDUP('HSZ do groszy'!M43,0)</f>
        <v>0</v>
      </c>
      <c r="N43" s="863">
        <f>ROUNDUP('HSZ do groszy'!N43,0)</f>
        <v>358088</v>
      </c>
      <c r="O43" s="866">
        <f>ROUNDUP('HSZ do groszy'!O43,0)</f>
        <v>0</v>
      </c>
      <c r="P43" s="867">
        <f>ROUNDUP('HSZ do groszy'!P43,0)</f>
        <v>358088</v>
      </c>
      <c r="Q43" s="862">
        <f>ROUNDUP('HSZ do groszy'!Q43,0)</f>
        <v>0</v>
      </c>
      <c r="R43" s="863">
        <f>ROUNDUP('HSZ do groszy'!R43,0)</f>
        <v>358088</v>
      </c>
      <c r="S43" s="866">
        <f>ROUNDUP('HSZ do groszy'!S43,0)</f>
        <v>2000000</v>
      </c>
      <c r="T43" s="867">
        <f>ROUNDUP('HSZ do groszy'!T43,0)</f>
        <v>358088</v>
      </c>
      <c r="U43" s="862">
        <f>ROUNDUP('HSZ do groszy'!U43,0)</f>
        <v>2000000</v>
      </c>
      <c r="V43" s="863">
        <f>ROUNDUP('HSZ do groszy'!V43,0)</f>
        <v>264288</v>
      </c>
      <c r="W43" s="866">
        <f>ROUNDUP('HSZ do groszy'!W43,0)</f>
        <v>3000000</v>
      </c>
      <c r="X43" s="867">
        <f>ROUNDUP('HSZ do groszy'!X43,0)</f>
        <v>153433</v>
      </c>
      <c r="Y43" s="862">
        <f>ROUNDUP('HSZ do groszy'!Y43,0)</f>
        <v>0</v>
      </c>
      <c r="Z43" s="863">
        <f>ROUNDUP('HSZ do groszy'!Z43,0)</f>
        <v>0</v>
      </c>
      <c r="AA43" s="866">
        <f>ROUNDUP('HSZ do groszy'!AA43,0)</f>
        <v>0</v>
      </c>
      <c r="AB43" s="867">
        <f>ROUNDUP('HSZ do groszy'!AB43,0)</f>
        <v>0</v>
      </c>
      <c r="AC43" s="862">
        <f>ROUNDUP('HSZ do groszy'!AC43,0)</f>
        <v>0</v>
      </c>
      <c r="AD43" s="863">
        <f>ROUNDUP('HSZ do groszy'!AD43,0)</f>
        <v>0</v>
      </c>
      <c r="AE43" s="866">
        <f>ROUNDUP('HSZ do groszy'!AE43,0)</f>
        <v>0</v>
      </c>
      <c r="AF43" s="863">
        <f>ROUNDUP('HSZ do groszy'!AF43,0)</f>
        <v>0</v>
      </c>
      <c r="AG43" s="866">
        <f>ROUNDUP('HSZ do groszy'!AG43,0)</f>
        <v>0</v>
      </c>
      <c r="AH43" s="868">
        <f>ROUNDUP('HSZ do groszy'!AH43,0)</f>
        <v>0</v>
      </c>
      <c r="AI43" s="869"/>
      <c r="AJ43" s="869"/>
      <c r="AK43" s="870" t="str">
        <f>A43</f>
        <v>Obligacje 2012</v>
      </c>
      <c r="AL43" s="871"/>
      <c r="AM43" s="872">
        <f>SUM($I43,$K43,$M43,$O43,$Q43,$S43,$U43,$W43,$Y43,$AA43,$AC43,$AE43,$AG43)</f>
        <v>7000000</v>
      </c>
      <c r="AN43" s="873">
        <f>SUM($J43,$L43,$N43,$P43,$R43,$T43,$V43,$X43,$Z43,$AB43,$AD43,$AF43,$AH43)</f>
        <v>2566249</v>
      </c>
      <c r="AO43" s="863">
        <f>SUM(AM43,AN43)</f>
        <v>9566249</v>
      </c>
      <c r="AP43" s="872">
        <f>SUM($K43,$M43,$O43,$Q43,$S43,$U43,$W43,$Y43,$AA43,$AC43,$AE43,$AG43)</f>
        <v>7000000</v>
      </c>
      <c r="AQ43" s="873">
        <f>SUM($L43,$N43,$P43,$R43,$T43,$V43,$X43,$Z43,$AB43,$AD43,$AF43,$AH43)</f>
        <v>2208161</v>
      </c>
      <c r="AR43" s="863">
        <f>SUM(AP43,AQ43)</f>
        <v>9208161</v>
      </c>
      <c r="AS43" s="872">
        <f>SUM($M43,$O43,$Q43,$S43,$U43,$W43,$Y43,$AA43,$AC43,$AE43,$AG43)</f>
        <v>7000000</v>
      </c>
      <c r="AT43" s="873">
        <f>SUM($N43,$P43,$R43,$T43,$V43,$X43,$Z43,$AB43,$AD43,$AF43,$AH43)</f>
        <v>1850073</v>
      </c>
      <c r="AU43" s="863">
        <f>SUM(AS43,AT43)</f>
        <v>8850073</v>
      </c>
      <c r="AV43" s="872">
        <f t="shared" si="57"/>
        <v>7000000</v>
      </c>
      <c r="AW43" s="873">
        <f t="shared" si="58"/>
        <v>1491985</v>
      </c>
      <c r="AX43" s="863">
        <f>SUM(AV43,AW43)</f>
        <v>8491985</v>
      </c>
      <c r="AY43" s="872">
        <f t="shared" si="59"/>
        <v>7000000</v>
      </c>
      <c r="AZ43" s="873">
        <f t="shared" si="60"/>
        <v>1133897</v>
      </c>
      <c r="BA43" s="863">
        <f>SUM(AY43,AZ43)</f>
        <v>8133897</v>
      </c>
      <c r="BB43" s="872">
        <f t="shared" si="61"/>
        <v>7000000</v>
      </c>
      <c r="BC43" s="873">
        <f t="shared" si="62"/>
        <v>775809</v>
      </c>
      <c r="BD43" s="863">
        <f>SUM(BB43,BC43)</f>
        <v>7775809</v>
      </c>
      <c r="BE43" s="872">
        <f t="shared" si="63"/>
        <v>5000000</v>
      </c>
      <c r="BF43" s="873">
        <f t="shared" si="64"/>
        <v>417721</v>
      </c>
      <c r="BG43" s="863">
        <f>SUM(BE43,BF43)</f>
        <v>5417721</v>
      </c>
      <c r="BH43" s="872">
        <f t="shared" si="65"/>
        <v>3000000</v>
      </c>
      <c r="BI43" s="873">
        <f t="shared" si="66"/>
        <v>153433</v>
      </c>
      <c r="BJ43" s="863">
        <f>SUM(BH43,BI43)</f>
        <v>3153433</v>
      </c>
      <c r="BK43" s="872">
        <f t="shared" si="67"/>
        <v>0</v>
      </c>
      <c r="BL43" s="873">
        <f t="shared" si="68"/>
        <v>0</v>
      </c>
      <c r="BM43" s="863">
        <f>SUM(BK43,BL43)</f>
        <v>0</v>
      </c>
      <c r="BN43" s="872">
        <f t="shared" si="69"/>
        <v>0</v>
      </c>
      <c r="BO43" s="873">
        <f t="shared" si="70"/>
        <v>0</v>
      </c>
      <c r="BP43" s="863">
        <f t="shared" si="71"/>
        <v>0</v>
      </c>
      <c r="BQ43" s="872">
        <f t="shared" si="72"/>
        <v>0</v>
      </c>
      <c r="BR43" s="873">
        <f t="shared" si="73"/>
        <v>0</v>
      </c>
      <c r="BS43" s="863">
        <f t="shared" si="74"/>
        <v>0</v>
      </c>
      <c r="BT43" s="872">
        <f t="shared" si="75"/>
        <v>0</v>
      </c>
      <c r="BU43" s="873">
        <f t="shared" si="76"/>
        <v>0</v>
      </c>
      <c r="BV43" s="863">
        <f t="shared" si="77"/>
        <v>0</v>
      </c>
      <c r="BW43" s="872">
        <f t="shared" si="78"/>
        <v>0</v>
      </c>
      <c r="BX43" s="873">
        <f t="shared" si="79"/>
        <v>0</v>
      </c>
      <c r="BY43" s="863">
        <f t="shared" si="80"/>
        <v>0</v>
      </c>
      <c r="BZ43" s="869"/>
    </row>
    <row r="44" spans="1:78">
      <c r="A44" s="698"/>
      <c r="B44" s="697"/>
      <c r="C44" s="684">
        <f>ROUNDUP('HSZ do groszy'!C44,0)</f>
        <v>0</v>
      </c>
      <c r="D44" s="685">
        <f>ROUNDUP('HSZ do groszy'!D44,0)</f>
        <v>0</v>
      </c>
      <c r="E44" s="856">
        <f t="shared" si="54"/>
        <v>0</v>
      </c>
      <c r="F44" s="686">
        <f t="shared" si="55"/>
        <v>0</v>
      </c>
      <c r="G44" s="684">
        <f>ROUNDUP('HSZ do groszy'!G44,0)</f>
        <v>0</v>
      </c>
      <c r="H44" s="685">
        <f>ROUNDUP('HSZ do groszy'!H44,0)</f>
        <v>0</v>
      </c>
      <c r="I44" s="684">
        <f>ROUNDUP('HSZ do groszy'!I44,0)</f>
        <v>0</v>
      </c>
      <c r="J44" s="685">
        <f>ROUNDUP('HSZ do groszy'!J44,0)</f>
        <v>0</v>
      </c>
      <c r="K44" s="687">
        <f>ROUNDUP('HSZ do groszy'!K44,0)</f>
        <v>0</v>
      </c>
      <c r="L44" s="688">
        <f>ROUNDUP('HSZ do groszy'!L44,0)</f>
        <v>0</v>
      </c>
      <c r="M44" s="684">
        <f>ROUNDUP('HSZ do groszy'!M44,0)</f>
        <v>0</v>
      </c>
      <c r="N44" s="685">
        <f>ROUNDUP('HSZ do groszy'!N44,0)</f>
        <v>0</v>
      </c>
      <c r="O44" s="687">
        <f>ROUNDUP('HSZ do groszy'!O44,0)</f>
        <v>0</v>
      </c>
      <c r="P44" s="688">
        <f>ROUNDUP('HSZ do groszy'!P44,0)</f>
        <v>0</v>
      </c>
      <c r="Q44" s="684">
        <f>ROUNDUP('HSZ do groszy'!Q44,0)</f>
        <v>0</v>
      </c>
      <c r="R44" s="685">
        <f>ROUNDUP('HSZ do groszy'!R44,0)</f>
        <v>0</v>
      </c>
      <c r="S44" s="687">
        <f>ROUNDUP('HSZ do groszy'!S44,0)</f>
        <v>0</v>
      </c>
      <c r="T44" s="688">
        <f>ROUNDUP('HSZ do groszy'!T44,0)</f>
        <v>0</v>
      </c>
      <c r="U44" s="684">
        <f>ROUNDUP('HSZ do groszy'!U44,0)</f>
        <v>0</v>
      </c>
      <c r="V44" s="685">
        <f>ROUNDUP('HSZ do groszy'!V44,0)</f>
        <v>0</v>
      </c>
      <c r="W44" s="687">
        <f>ROUNDUP('HSZ do groszy'!W44,0)</f>
        <v>0</v>
      </c>
      <c r="X44" s="688">
        <f>ROUNDUP('HSZ do groszy'!X44,0)</f>
        <v>0</v>
      </c>
      <c r="Y44" s="684">
        <f>ROUNDUP('HSZ do groszy'!Y44,0)</f>
        <v>0</v>
      </c>
      <c r="Z44" s="685">
        <f>ROUNDUP('HSZ do groszy'!Z44,0)</f>
        <v>0</v>
      </c>
      <c r="AA44" s="687">
        <f>ROUNDUP('HSZ do groszy'!AA44,0)</f>
        <v>0</v>
      </c>
      <c r="AB44" s="688">
        <f>ROUNDUP('HSZ do groszy'!AB44,0)</f>
        <v>0</v>
      </c>
      <c r="AC44" s="684">
        <f>ROUNDUP('HSZ do groszy'!AC44,0)</f>
        <v>0</v>
      </c>
      <c r="AD44" s="685">
        <f>ROUNDUP('HSZ do groszy'!AD44,0)</f>
        <v>0</v>
      </c>
      <c r="AE44" s="687">
        <f>ROUNDUP('HSZ do groszy'!AE44,0)</f>
        <v>0</v>
      </c>
      <c r="AF44" s="685">
        <f>ROUNDUP('HSZ do groszy'!AF44,0)</f>
        <v>0</v>
      </c>
      <c r="AG44" s="687">
        <f>ROUNDUP('HSZ do groszy'!AG44,0)</f>
        <v>0</v>
      </c>
      <c r="AH44" s="689">
        <f>ROUNDUP('HSZ do groszy'!AH44,0)</f>
        <v>0</v>
      </c>
      <c r="AI44" s="435"/>
      <c r="AJ44" s="435"/>
      <c r="AK44" s="690"/>
      <c r="AL44" s="691"/>
      <c r="AM44" s="692"/>
      <c r="AN44" s="693"/>
      <c r="AO44" s="685"/>
      <c r="AP44" s="692"/>
      <c r="AQ44" s="693"/>
      <c r="AR44" s="685"/>
      <c r="AS44" s="692"/>
      <c r="AT44" s="693"/>
      <c r="AU44" s="685"/>
      <c r="AV44" s="692"/>
      <c r="AW44" s="693"/>
      <c r="AX44" s="685"/>
      <c r="AY44" s="692"/>
      <c r="AZ44" s="693"/>
      <c r="BA44" s="685"/>
      <c r="BB44" s="692"/>
      <c r="BC44" s="693"/>
      <c r="BD44" s="685"/>
      <c r="BE44" s="692"/>
      <c r="BF44" s="693"/>
      <c r="BG44" s="685"/>
      <c r="BH44" s="692"/>
      <c r="BI44" s="693"/>
      <c r="BJ44" s="685"/>
      <c r="BK44" s="692"/>
      <c r="BL44" s="693"/>
      <c r="BM44" s="685"/>
      <c r="BN44" s="692"/>
      <c r="BO44" s="693"/>
      <c r="BP44" s="685"/>
      <c r="BQ44" s="692"/>
      <c r="BR44" s="693"/>
      <c r="BS44" s="685"/>
      <c r="BT44" s="692"/>
      <c r="BU44" s="693"/>
      <c r="BV44" s="685"/>
      <c r="BW44" s="692"/>
      <c r="BX44" s="693"/>
      <c r="BY44" s="685"/>
      <c r="BZ44" s="435"/>
    </row>
    <row r="45" spans="1:78">
      <c r="A45" s="698" t="str">
        <f>'HSZ do groszy'!A45</f>
        <v>Obligacje 2013</v>
      </c>
      <c r="B45" s="697" t="e">
        <f>ROUNDUP('HSZ do groszy'!B45,0)</f>
        <v>#VALUE!</v>
      </c>
      <c r="C45" s="684">
        <f>ROUNDUP('HSZ do groszy'!C45,0)</f>
        <v>0</v>
      </c>
      <c r="D45" s="685">
        <f>ROUNDUP('HSZ do groszy'!D45,0)</f>
        <v>0</v>
      </c>
      <c r="E45" s="856">
        <f>G45+I45+K45+M45+O45+Q45+S45+U45+W45+Y45+AA45+AC45+AE45+AG45</f>
        <v>6732194</v>
      </c>
      <c r="F45" s="686">
        <f>H45+J45+L45+N45+P45+R45+T45+V45+X45+Z45+AB45+AD45+AF45+AH45</f>
        <v>2381315</v>
      </c>
      <c r="G45" s="684">
        <f>ROUNDUP('HSZ do groszy'!G45,0)</f>
        <v>0</v>
      </c>
      <c r="H45" s="685">
        <f>ROUNDUP('HSZ do groszy'!H45,0)</f>
        <v>0</v>
      </c>
      <c r="I45" s="684">
        <f>ROUNDUP('HSZ do groszy'!I45,0)</f>
        <v>0</v>
      </c>
      <c r="J45" s="685">
        <f>ROUNDUP('HSZ do groszy'!J45,0)</f>
        <v>0</v>
      </c>
      <c r="K45" s="687">
        <f>ROUNDUP('HSZ do groszy'!K45,0)</f>
        <v>0</v>
      </c>
      <c r="L45" s="688">
        <f>ROUNDUP('HSZ do groszy'!L45,0)</f>
        <v>318739</v>
      </c>
      <c r="M45" s="684">
        <f>ROUNDUP('HSZ do groszy'!M45,0)</f>
        <v>0</v>
      </c>
      <c r="N45" s="685">
        <f>ROUNDUP('HSZ do groszy'!N45,0)</f>
        <v>318739</v>
      </c>
      <c r="O45" s="687">
        <f>ROUNDUP('HSZ do groszy'!O45,0)</f>
        <v>0</v>
      </c>
      <c r="P45" s="688">
        <f>ROUNDUP('HSZ do groszy'!P45,0)</f>
        <v>318739</v>
      </c>
      <c r="Q45" s="684">
        <f>ROUNDUP('HSZ do groszy'!Q45,0)</f>
        <v>0</v>
      </c>
      <c r="R45" s="685">
        <f>ROUNDUP('HSZ do groszy'!R45,0)</f>
        <v>318739</v>
      </c>
      <c r="S45" s="687">
        <f>ROUNDUP('HSZ do groszy'!S45,0)</f>
        <v>0</v>
      </c>
      <c r="T45" s="688">
        <f>ROUNDUP('HSZ do groszy'!T45,0)</f>
        <v>318739</v>
      </c>
      <c r="U45" s="684">
        <f>ROUNDUP('HSZ do groszy'!U45,0)</f>
        <v>0</v>
      </c>
      <c r="V45" s="685">
        <f>ROUNDUP('HSZ do groszy'!V45,0)</f>
        <v>318739</v>
      </c>
      <c r="W45" s="687">
        <f>ROUNDUP('HSZ do groszy'!W45,0)</f>
        <v>3000000</v>
      </c>
      <c r="X45" s="688">
        <f>ROUNDUP('HSZ do groszy'!X45,0)</f>
        <v>306903</v>
      </c>
      <c r="Y45" s="684">
        <f>ROUNDUP('HSZ do groszy'!Y45,0)</f>
        <v>3732194</v>
      </c>
      <c r="Z45" s="685">
        <f>ROUNDUP('HSZ do groszy'!Z45,0)</f>
        <v>161978</v>
      </c>
      <c r="AA45" s="687">
        <f>ROUNDUP('HSZ do groszy'!AA45,0)</f>
        <v>0</v>
      </c>
      <c r="AB45" s="688">
        <f>ROUNDUP('HSZ do groszy'!AB45,0)</f>
        <v>0</v>
      </c>
      <c r="AC45" s="684">
        <f>ROUNDUP('HSZ do groszy'!AC45,0)</f>
        <v>0</v>
      </c>
      <c r="AD45" s="685">
        <f>ROUNDUP('HSZ do groszy'!AD45,0)</f>
        <v>0</v>
      </c>
      <c r="AE45" s="687">
        <f>ROUNDUP('HSZ do groszy'!AE45,0)</f>
        <v>0</v>
      </c>
      <c r="AF45" s="685">
        <f>ROUNDUP('HSZ do groszy'!AF45,0)</f>
        <v>0</v>
      </c>
      <c r="AG45" s="687">
        <f>ROUNDUP('HSZ do groszy'!AG45,0)</f>
        <v>0</v>
      </c>
      <c r="AH45" s="689">
        <f>ROUNDUP('HSZ do groszy'!AH45,0)</f>
        <v>0</v>
      </c>
      <c r="AI45" s="435"/>
      <c r="AJ45" s="435"/>
      <c r="AK45" s="690" t="str">
        <f t="shared" ref="AK45:AK52" si="82">A45</f>
        <v>Obligacje 2013</v>
      </c>
      <c r="AL45" s="691"/>
      <c r="AM45" s="692"/>
      <c r="AN45" s="693"/>
      <c r="AO45" s="685"/>
      <c r="AP45" s="692">
        <f>SUM($K45,$M45,$O45,$Q45,$S45,$U45,$W45,$Y45,$AA45,$AC45,$AE45,$AG45)</f>
        <v>6732194</v>
      </c>
      <c r="AQ45" s="693">
        <f>SUM($L45,$N45,$P45,$R45,$T45,$V45,$X45,$Z45,$AB45,$AD45,$AF45,$AH45)</f>
        <v>2381315</v>
      </c>
      <c r="AR45" s="685">
        <f>SUM(AP45,AQ45)</f>
        <v>9113509</v>
      </c>
      <c r="AS45" s="692">
        <f>SUM($M45,$O45,$Q45,$S45,$U45,$W45,$Y45,$AA45,$AC45,$AE45,$AG45)</f>
        <v>6732194</v>
      </c>
      <c r="AT45" s="693">
        <f>SUM($N45,$P45,$R45,$T45,$V45,$X45,$Z45,$AB45,$AD45,$AF45,$AH45)</f>
        <v>2062576</v>
      </c>
      <c r="AU45" s="685">
        <f>SUM(AS45,AT45)</f>
        <v>8794770</v>
      </c>
      <c r="AV45" s="692">
        <f t="shared" si="57"/>
        <v>6732194</v>
      </c>
      <c r="AW45" s="693">
        <f t="shared" si="58"/>
        <v>1743837</v>
      </c>
      <c r="AX45" s="685">
        <f>SUM(AV45,AW45)</f>
        <v>8476031</v>
      </c>
      <c r="AY45" s="692">
        <f t="shared" si="59"/>
        <v>6732194</v>
      </c>
      <c r="AZ45" s="693">
        <f t="shared" si="60"/>
        <v>1425098</v>
      </c>
      <c r="BA45" s="685">
        <f>SUM(AY45,AZ45)</f>
        <v>8157292</v>
      </c>
      <c r="BB45" s="692">
        <f t="shared" si="61"/>
        <v>6732194</v>
      </c>
      <c r="BC45" s="693">
        <f t="shared" si="62"/>
        <v>1106359</v>
      </c>
      <c r="BD45" s="685">
        <f t="shared" ref="BD45:BD49" si="83">SUM(BB45,BC45)</f>
        <v>7838553</v>
      </c>
      <c r="BE45" s="692">
        <f t="shared" si="63"/>
        <v>6732194</v>
      </c>
      <c r="BF45" s="693">
        <f t="shared" si="64"/>
        <v>787620</v>
      </c>
      <c r="BG45" s="685">
        <f t="shared" ref="BG45:BG50" si="84">SUM(BE45,BF45)</f>
        <v>7519814</v>
      </c>
      <c r="BH45" s="692">
        <f t="shared" si="65"/>
        <v>6732194</v>
      </c>
      <c r="BI45" s="693">
        <f t="shared" si="66"/>
        <v>468881</v>
      </c>
      <c r="BJ45" s="685">
        <f t="shared" ref="BJ45:BJ51" si="85">SUM(BH45,BI45)</f>
        <v>7201075</v>
      </c>
      <c r="BK45" s="692">
        <f t="shared" si="67"/>
        <v>3732194</v>
      </c>
      <c r="BL45" s="693">
        <f t="shared" si="68"/>
        <v>161978</v>
      </c>
      <c r="BM45" s="685">
        <f t="shared" ref="BM45:BM52" si="86">SUM(BK45,BL45)</f>
        <v>3894172</v>
      </c>
      <c r="BN45" s="692">
        <f t="shared" si="69"/>
        <v>0</v>
      </c>
      <c r="BO45" s="693">
        <f t="shared" si="70"/>
        <v>0</v>
      </c>
      <c r="BP45" s="685">
        <f t="shared" si="71"/>
        <v>0</v>
      </c>
      <c r="BQ45" s="692">
        <f t="shared" si="72"/>
        <v>0</v>
      </c>
      <c r="BR45" s="693">
        <f t="shared" si="73"/>
        <v>0</v>
      </c>
      <c r="BS45" s="685">
        <f t="shared" si="74"/>
        <v>0</v>
      </c>
      <c r="BT45" s="692">
        <f t="shared" si="75"/>
        <v>0</v>
      </c>
      <c r="BU45" s="693">
        <f t="shared" si="76"/>
        <v>0</v>
      </c>
      <c r="BV45" s="685">
        <f t="shared" si="77"/>
        <v>0</v>
      </c>
      <c r="BW45" s="692">
        <f t="shared" si="78"/>
        <v>0</v>
      </c>
      <c r="BX45" s="693">
        <f t="shared" si="79"/>
        <v>0</v>
      </c>
      <c r="BY45" s="685">
        <f t="shared" si="80"/>
        <v>0</v>
      </c>
      <c r="BZ45" s="435"/>
    </row>
    <row r="46" spans="1:78">
      <c r="A46" s="698" t="str">
        <f>'HSZ do groszy'!A46</f>
        <v>Obligacje 2014</v>
      </c>
      <c r="B46" s="697" t="e">
        <f>ROUNDUP('HSZ do groszy'!B46,0)</f>
        <v>#VALUE!</v>
      </c>
      <c r="C46" s="684">
        <f>ROUNDUP('HSZ do groszy'!C46,0)</f>
        <v>0</v>
      </c>
      <c r="D46" s="685">
        <f>ROUNDUP('HSZ do groszy'!D46,0)</f>
        <v>0</v>
      </c>
      <c r="E46" s="856">
        <f t="shared" si="54"/>
        <v>1906886</v>
      </c>
      <c r="F46" s="686">
        <f t="shared" ref="F46:F56" si="87">H46+J46+L46+N46+P46+R46+T46+V46+X46+Z46+AB46+AD46+AF46+AH46</f>
        <v>624457</v>
      </c>
      <c r="G46" s="684">
        <f>ROUNDUP('HSZ do groszy'!G46,0)</f>
        <v>0</v>
      </c>
      <c r="H46" s="685">
        <f>ROUNDUP('HSZ do groszy'!H46,0)</f>
        <v>0</v>
      </c>
      <c r="I46" s="684">
        <f>ROUNDUP('HSZ do groszy'!I46,0)</f>
        <v>0</v>
      </c>
      <c r="J46" s="685">
        <f>ROUNDUP('HSZ do groszy'!J46,0)</f>
        <v>0</v>
      </c>
      <c r="K46" s="687">
        <f>ROUNDUP('HSZ do groszy'!K46,0)</f>
        <v>0</v>
      </c>
      <c r="L46" s="688">
        <f>ROUNDUP('HSZ do groszy'!L46,0)</f>
        <v>0</v>
      </c>
      <c r="M46" s="684">
        <f>ROUNDUP('HSZ do groszy'!M46,0)</f>
        <v>0</v>
      </c>
      <c r="N46" s="685">
        <f>ROUNDUP('HSZ do groszy'!N46,0)</f>
        <v>90283</v>
      </c>
      <c r="O46" s="687">
        <f>ROUNDUP('HSZ do groszy'!O46,0)</f>
        <v>0</v>
      </c>
      <c r="P46" s="688">
        <f>ROUNDUP('HSZ do groszy'!P46,0)</f>
        <v>90283</v>
      </c>
      <c r="Q46" s="684">
        <f>ROUNDUP('HSZ do groszy'!Q46,0)</f>
        <v>0</v>
      </c>
      <c r="R46" s="685">
        <f>ROUNDUP('HSZ do groszy'!R46,0)</f>
        <v>90283</v>
      </c>
      <c r="S46" s="687">
        <f>ROUNDUP('HSZ do groszy'!S46,0)</f>
        <v>0</v>
      </c>
      <c r="T46" s="688">
        <f>ROUNDUP('HSZ do groszy'!T46,0)</f>
        <v>90283</v>
      </c>
      <c r="U46" s="684">
        <f>ROUNDUP('HSZ do groszy'!U46,0)</f>
        <v>0</v>
      </c>
      <c r="V46" s="685">
        <f>ROUNDUP('HSZ do groszy'!V46,0)</f>
        <v>90283</v>
      </c>
      <c r="W46" s="687">
        <f>ROUNDUP('HSZ do groszy'!W46,0)</f>
        <v>0</v>
      </c>
      <c r="X46" s="688">
        <f>ROUNDUP('HSZ do groszy'!X46,0)</f>
        <v>90283</v>
      </c>
      <c r="Y46" s="684">
        <f>ROUNDUP('HSZ do groszy'!Y46,0)</f>
        <v>1906886</v>
      </c>
      <c r="Z46" s="685">
        <f>ROUNDUP('HSZ do groszy'!Z46,0)</f>
        <v>82759</v>
      </c>
      <c r="AA46" s="687">
        <f>ROUNDUP('HSZ do groszy'!AA46,0)</f>
        <v>0</v>
      </c>
      <c r="AB46" s="688">
        <f>ROUNDUP('HSZ do groszy'!AB46,0)</f>
        <v>0</v>
      </c>
      <c r="AC46" s="684">
        <f>ROUNDUP('HSZ do groszy'!AC46,0)</f>
        <v>0</v>
      </c>
      <c r="AD46" s="685">
        <f>ROUNDUP('HSZ do groszy'!AD46,0)</f>
        <v>0</v>
      </c>
      <c r="AE46" s="687">
        <f>ROUNDUP('HSZ do groszy'!AE46,0)</f>
        <v>0</v>
      </c>
      <c r="AF46" s="685">
        <f>ROUNDUP('HSZ do groszy'!AF46,0)</f>
        <v>0</v>
      </c>
      <c r="AG46" s="687">
        <f>ROUNDUP('HSZ do groszy'!AG46,0)</f>
        <v>0</v>
      </c>
      <c r="AH46" s="689">
        <f>ROUNDUP('HSZ do groszy'!AH46,0)</f>
        <v>0</v>
      </c>
      <c r="AI46" s="435"/>
      <c r="AJ46" s="435"/>
      <c r="AK46" s="690" t="str">
        <f t="shared" si="82"/>
        <v>Obligacje 2014</v>
      </c>
      <c r="AL46" s="691"/>
      <c r="AM46" s="692"/>
      <c r="AN46" s="693"/>
      <c r="AO46" s="685"/>
      <c r="AP46" s="692"/>
      <c r="AQ46" s="693"/>
      <c r="AR46" s="685"/>
      <c r="AS46" s="692">
        <f>SUM($M46,$O46,$Q46,$S46,$U46,$W46,$Y46,$AA46,$AC46,$AE46,$AG46)</f>
        <v>1906886</v>
      </c>
      <c r="AT46" s="693">
        <f>SUM($N46,$P46,$R46,$T46,$V46,$X46,$Z46,$AB46,$AD46,$AF46,$AH46)</f>
        <v>624457</v>
      </c>
      <c r="AU46" s="685">
        <f>SUM(AS46,AT46)</f>
        <v>2531343</v>
      </c>
      <c r="AV46" s="692">
        <f t="shared" si="57"/>
        <v>1906886</v>
      </c>
      <c r="AW46" s="693">
        <f t="shared" si="58"/>
        <v>534174</v>
      </c>
      <c r="AX46" s="685">
        <f>SUM(AV46,AW46)</f>
        <v>2441060</v>
      </c>
      <c r="AY46" s="692">
        <f t="shared" si="59"/>
        <v>1906886</v>
      </c>
      <c r="AZ46" s="693">
        <f t="shared" si="60"/>
        <v>443891</v>
      </c>
      <c r="BA46" s="685">
        <f>SUM(AY46,AZ46)</f>
        <v>2350777</v>
      </c>
      <c r="BB46" s="692">
        <f t="shared" si="61"/>
        <v>1906886</v>
      </c>
      <c r="BC46" s="693">
        <f t="shared" si="62"/>
        <v>353608</v>
      </c>
      <c r="BD46" s="685">
        <f t="shared" si="83"/>
        <v>2260494</v>
      </c>
      <c r="BE46" s="692">
        <f t="shared" si="63"/>
        <v>1906886</v>
      </c>
      <c r="BF46" s="693">
        <f t="shared" si="64"/>
        <v>263325</v>
      </c>
      <c r="BG46" s="685">
        <f t="shared" si="84"/>
        <v>2170211</v>
      </c>
      <c r="BH46" s="692">
        <f t="shared" si="65"/>
        <v>1906886</v>
      </c>
      <c r="BI46" s="693">
        <f t="shared" si="66"/>
        <v>173042</v>
      </c>
      <c r="BJ46" s="685">
        <f t="shared" si="85"/>
        <v>2079928</v>
      </c>
      <c r="BK46" s="692">
        <f t="shared" si="67"/>
        <v>1906886</v>
      </c>
      <c r="BL46" s="693">
        <f t="shared" si="68"/>
        <v>82759</v>
      </c>
      <c r="BM46" s="685">
        <f t="shared" si="86"/>
        <v>1989645</v>
      </c>
      <c r="BN46" s="692">
        <f t="shared" si="69"/>
        <v>0</v>
      </c>
      <c r="BO46" s="693">
        <f t="shared" si="70"/>
        <v>0</v>
      </c>
      <c r="BP46" s="685">
        <f t="shared" si="71"/>
        <v>0</v>
      </c>
      <c r="BQ46" s="692">
        <f t="shared" si="72"/>
        <v>0</v>
      </c>
      <c r="BR46" s="693">
        <f t="shared" si="73"/>
        <v>0</v>
      </c>
      <c r="BS46" s="685">
        <f t="shared" si="74"/>
        <v>0</v>
      </c>
      <c r="BT46" s="692">
        <f t="shared" si="75"/>
        <v>0</v>
      </c>
      <c r="BU46" s="693">
        <f t="shared" si="76"/>
        <v>0</v>
      </c>
      <c r="BV46" s="685">
        <f t="shared" si="77"/>
        <v>0</v>
      </c>
      <c r="BW46" s="692">
        <f t="shared" si="78"/>
        <v>0</v>
      </c>
      <c r="BX46" s="693">
        <f t="shared" si="79"/>
        <v>0</v>
      </c>
      <c r="BY46" s="685">
        <f t="shared" si="80"/>
        <v>0</v>
      </c>
      <c r="BZ46" s="435"/>
    </row>
    <row r="47" spans="1:78">
      <c r="A47" s="698" t="str">
        <f>'HSZ do groszy'!A47</f>
        <v>Obligacje 2015</v>
      </c>
      <c r="B47" s="697" t="e">
        <f>ROUNDUP('HSZ do groszy'!B47,0)</f>
        <v>#VALUE!</v>
      </c>
      <c r="C47" s="684">
        <f>ROUNDUP('HSZ do groszy'!C47,0)</f>
        <v>0</v>
      </c>
      <c r="D47" s="685">
        <f>ROUNDUP('HSZ do groszy'!D47,0)</f>
        <v>0</v>
      </c>
      <c r="E47" s="856">
        <f t="shared" si="54"/>
        <v>0</v>
      </c>
      <c r="F47" s="686">
        <f t="shared" si="87"/>
        <v>0</v>
      </c>
      <c r="G47" s="684">
        <f>ROUNDUP('HSZ do groszy'!G47,0)</f>
        <v>0</v>
      </c>
      <c r="H47" s="685">
        <f>ROUNDUP('HSZ do groszy'!H47,0)</f>
        <v>0</v>
      </c>
      <c r="I47" s="684">
        <f>ROUNDUP('HSZ do groszy'!I47,0)</f>
        <v>0</v>
      </c>
      <c r="J47" s="685">
        <f>ROUNDUP('HSZ do groszy'!J47,0)</f>
        <v>0</v>
      </c>
      <c r="K47" s="687">
        <f>ROUNDUP('HSZ do groszy'!K47,0)</f>
        <v>0</v>
      </c>
      <c r="L47" s="688">
        <f>ROUNDUP('HSZ do groszy'!L47,0)</f>
        <v>0</v>
      </c>
      <c r="M47" s="684">
        <f>ROUNDUP('HSZ do groszy'!M47,0)</f>
        <v>0</v>
      </c>
      <c r="N47" s="685">
        <f>ROUNDUP('HSZ do groszy'!N47,0)</f>
        <v>0</v>
      </c>
      <c r="O47" s="687">
        <f>ROUNDUP('HSZ do groszy'!O47,0)</f>
        <v>0</v>
      </c>
      <c r="P47" s="688">
        <f>ROUNDUP('HSZ do groszy'!P47,0)</f>
        <v>0</v>
      </c>
      <c r="Q47" s="684">
        <f>ROUNDUP('HSZ do groszy'!Q47,0)</f>
        <v>0</v>
      </c>
      <c r="R47" s="685">
        <f>ROUNDUP('HSZ do groszy'!R47,0)</f>
        <v>0</v>
      </c>
      <c r="S47" s="687">
        <f>ROUNDUP('HSZ do groszy'!S47,0)</f>
        <v>0</v>
      </c>
      <c r="T47" s="688">
        <f>ROUNDUP('HSZ do groszy'!T47,0)</f>
        <v>0</v>
      </c>
      <c r="U47" s="684">
        <f>ROUNDUP('HSZ do groszy'!U47,0)</f>
        <v>0</v>
      </c>
      <c r="V47" s="685">
        <f>ROUNDUP('HSZ do groszy'!V47,0)</f>
        <v>0</v>
      </c>
      <c r="W47" s="687">
        <f>ROUNDUP('HSZ do groszy'!W47,0)</f>
        <v>0</v>
      </c>
      <c r="X47" s="688">
        <f>ROUNDUP('HSZ do groszy'!X47,0)</f>
        <v>0</v>
      </c>
      <c r="Y47" s="684">
        <f>ROUNDUP('HSZ do groszy'!Y47,0)</f>
        <v>0</v>
      </c>
      <c r="Z47" s="685">
        <f>ROUNDUP('HSZ do groszy'!Z47,0)</f>
        <v>0</v>
      </c>
      <c r="AA47" s="687">
        <f>ROUNDUP('HSZ do groszy'!AA47,0)</f>
        <v>0</v>
      </c>
      <c r="AB47" s="688">
        <f>ROUNDUP('HSZ do groszy'!AB47,0)</f>
        <v>0</v>
      </c>
      <c r="AC47" s="684">
        <f>ROUNDUP('HSZ do groszy'!AC47,0)</f>
        <v>0</v>
      </c>
      <c r="AD47" s="685">
        <f>ROUNDUP('HSZ do groszy'!AD47,0)</f>
        <v>0</v>
      </c>
      <c r="AE47" s="687">
        <f>ROUNDUP('HSZ do groszy'!AE47,0)</f>
        <v>0</v>
      </c>
      <c r="AF47" s="685">
        <f>ROUNDUP('HSZ do groszy'!AF47,0)</f>
        <v>0</v>
      </c>
      <c r="AG47" s="687">
        <f>ROUNDUP('HSZ do groszy'!AG47,0)</f>
        <v>0</v>
      </c>
      <c r="AH47" s="689">
        <f>ROUNDUP('HSZ do groszy'!AH47,0)</f>
        <v>0</v>
      </c>
      <c r="AI47" s="435"/>
      <c r="AJ47" s="435"/>
      <c r="AK47" s="690" t="str">
        <f t="shared" si="82"/>
        <v>Obligacje 2015</v>
      </c>
      <c r="AL47" s="691"/>
      <c r="AM47" s="692"/>
      <c r="AN47" s="693"/>
      <c r="AO47" s="685"/>
      <c r="AP47" s="692"/>
      <c r="AQ47" s="693"/>
      <c r="AR47" s="685"/>
      <c r="AS47" s="692"/>
      <c r="AT47" s="693"/>
      <c r="AU47" s="685"/>
      <c r="AV47" s="692">
        <f t="shared" si="57"/>
        <v>0</v>
      </c>
      <c r="AW47" s="693">
        <f t="shared" si="58"/>
        <v>0</v>
      </c>
      <c r="AX47" s="685">
        <f>SUM(AV47,AW47)</f>
        <v>0</v>
      </c>
      <c r="AY47" s="692">
        <f t="shared" si="59"/>
        <v>0</v>
      </c>
      <c r="AZ47" s="693">
        <f t="shared" si="60"/>
        <v>0</v>
      </c>
      <c r="BA47" s="685">
        <f>SUM(AY47,AZ47)</f>
        <v>0</v>
      </c>
      <c r="BB47" s="692">
        <f t="shared" si="61"/>
        <v>0</v>
      </c>
      <c r="BC47" s="693">
        <f t="shared" si="62"/>
        <v>0</v>
      </c>
      <c r="BD47" s="685">
        <f t="shared" si="83"/>
        <v>0</v>
      </c>
      <c r="BE47" s="692">
        <f t="shared" si="63"/>
        <v>0</v>
      </c>
      <c r="BF47" s="693">
        <f t="shared" si="64"/>
        <v>0</v>
      </c>
      <c r="BG47" s="685">
        <f t="shared" si="84"/>
        <v>0</v>
      </c>
      <c r="BH47" s="692">
        <f t="shared" si="65"/>
        <v>0</v>
      </c>
      <c r="BI47" s="693">
        <f t="shared" si="66"/>
        <v>0</v>
      </c>
      <c r="BJ47" s="685">
        <f t="shared" si="85"/>
        <v>0</v>
      </c>
      <c r="BK47" s="692">
        <f t="shared" si="67"/>
        <v>0</v>
      </c>
      <c r="BL47" s="693">
        <f t="shared" si="68"/>
        <v>0</v>
      </c>
      <c r="BM47" s="685">
        <f t="shared" si="86"/>
        <v>0</v>
      </c>
      <c r="BN47" s="692">
        <f t="shared" si="69"/>
        <v>0</v>
      </c>
      <c r="BO47" s="693">
        <f t="shared" si="70"/>
        <v>0</v>
      </c>
      <c r="BP47" s="685">
        <f t="shared" si="71"/>
        <v>0</v>
      </c>
      <c r="BQ47" s="692">
        <f t="shared" si="72"/>
        <v>0</v>
      </c>
      <c r="BR47" s="693">
        <f t="shared" si="73"/>
        <v>0</v>
      </c>
      <c r="BS47" s="685">
        <f t="shared" si="74"/>
        <v>0</v>
      </c>
      <c r="BT47" s="692">
        <f t="shared" si="75"/>
        <v>0</v>
      </c>
      <c r="BU47" s="693">
        <f t="shared" si="76"/>
        <v>0</v>
      </c>
      <c r="BV47" s="685">
        <f t="shared" si="77"/>
        <v>0</v>
      </c>
      <c r="BW47" s="692">
        <f t="shared" si="78"/>
        <v>0</v>
      </c>
      <c r="BX47" s="693">
        <f t="shared" si="79"/>
        <v>0</v>
      </c>
      <c r="BY47" s="685">
        <f t="shared" si="80"/>
        <v>0</v>
      </c>
      <c r="BZ47" s="435"/>
    </row>
    <row r="48" spans="1:78">
      <c r="A48" s="698" t="str">
        <f>'HSZ do groszy'!A48</f>
        <v>Obligacje 2016</v>
      </c>
      <c r="B48" s="697" t="e">
        <f>ROUNDUP('HSZ do groszy'!B48,0)</f>
        <v>#VALUE!</v>
      </c>
      <c r="C48" s="684">
        <f>ROUNDUP('HSZ do groszy'!C48,0)</f>
        <v>0</v>
      </c>
      <c r="D48" s="685">
        <f>ROUNDUP('HSZ do groszy'!D48,0)</f>
        <v>0</v>
      </c>
      <c r="E48" s="856">
        <f t="shared" si="54"/>
        <v>1618785</v>
      </c>
      <c r="F48" s="686">
        <f t="shared" si="87"/>
        <v>2822302</v>
      </c>
      <c r="G48" s="684">
        <f>ROUNDUP('HSZ do groszy'!G48,0)</f>
        <v>0</v>
      </c>
      <c r="H48" s="685">
        <f>ROUNDUP('HSZ do groszy'!H48,0)</f>
        <v>0</v>
      </c>
      <c r="I48" s="684">
        <f>ROUNDUP('HSZ do groszy'!I48,0)</f>
        <v>0</v>
      </c>
      <c r="J48" s="685">
        <f>ROUNDUP('HSZ do groszy'!J48,0)</f>
        <v>0</v>
      </c>
      <c r="K48" s="687">
        <f>ROUNDUP('HSZ do groszy'!K48,0)</f>
        <v>0</v>
      </c>
      <c r="L48" s="688">
        <f>ROUNDUP('HSZ do groszy'!L48,0)</f>
        <v>0</v>
      </c>
      <c r="M48" s="684">
        <f>ROUNDUP('HSZ do groszy'!M48,0)</f>
        <v>0</v>
      </c>
      <c r="N48" s="685">
        <f>ROUNDUP('HSZ do groszy'!N48,0)</f>
        <v>0</v>
      </c>
      <c r="O48" s="687">
        <f>ROUNDUP('HSZ do groszy'!O48,0)</f>
        <v>0</v>
      </c>
      <c r="P48" s="688">
        <f>ROUNDUP('HSZ do groszy'!P48,0)</f>
        <v>0</v>
      </c>
      <c r="Q48" s="684">
        <f>ROUNDUP('HSZ do groszy'!Q48,0)</f>
        <v>0</v>
      </c>
      <c r="R48" s="685">
        <f>ROUNDUP('HSZ do groszy'!R48,0)</f>
        <v>76643</v>
      </c>
      <c r="S48" s="687">
        <f>ROUNDUP('HSZ do groszy'!S48,0)</f>
        <v>0</v>
      </c>
      <c r="T48" s="688">
        <f>ROUNDUP('HSZ do groszy'!T48,0)</f>
        <v>76643</v>
      </c>
      <c r="U48" s="684">
        <f>ROUNDUP('HSZ do groszy'!U48,0)</f>
        <v>0</v>
      </c>
      <c r="V48" s="685">
        <f>ROUNDUP('HSZ do groszy'!V48,0)</f>
        <v>76643</v>
      </c>
      <c r="W48" s="687">
        <f>ROUNDUP('HSZ do groszy'!W48,0)</f>
        <v>0</v>
      </c>
      <c r="X48" s="688">
        <f>ROUNDUP('HSZ do groszy'!X48,0)</f>
        <v>76643</v>
      </c>
      <c r="Y48" s="684">
        <f>ROUNDUP('HSZ do groszy'!Y48,0)</f>
        <v>360920</v>
      </c>
      <c r="Z48" s="685">
        <f>ROUNDUP('HSZ do groszy'!Z48,0)</f>
        <v>1257865</v>
      </c>
      <c r="AA48" s="687">
        <f>ROUNDUP('HSZ do groszy'!AA48,0)</f>
        <v>1257865</v>
      </c>
      <c r="AB48" s="688">
        <f>ROUNDUP('HSZ do groszy'!AB48,0)</f>
        <v>1257865</v>
      </c>
      <c r="AC48" s="684">
        <f>ROUNDUP('HSZ do groszy'!AC48,0)</f>
        <v>0</v>
      </c>
      <c r="AD48" s="685">
        <f>ROUNDUP('HSZ do groszy'!AD48,0)</f>
        <v>0</v>
      </c>
      <c r="AE48" s="687">
        <f>ROUNDUP('HSZ do groszy'!AE48,0)</f>
        <v>0</v>
      </c>
      <c r="AF48" s="685">
        <f>ROUNDUP('HSZ do groszy'!AF48,0)</f>
        <v>0</v>
      </c>
      <c r="AG48" s="687">
        <f>ROUNDUP('HSZ do groszy'!AG48,0)</f>
        <v>0</v>
      </c>
      <c r="AH48" s="689">
        <f>ROUNDUP('HSZ do groszy'!AH48,0)</f>
        <v>0</v>
      </c>
      <c r="AI48" s="435"/>
      <c r="AJ48" s="435"/>
      <c r="AK48" s="690" t="str">
        <f t="shared" si="82"/>
        <v>Obligacje 2016</v>
      </c>
      <c r="AL48" s="691"/>
      <c r="AM48" s="692"/>
      <c r="AN48" s="693"/>
      <c r="AO48" s="685"/>
      <c r="AP48" s="692"/>
      <c r="AQ48" s="693"/>
      <c r="AR48" s="685"/>
      <c r="AS48" s="692"/>
      <c r="AT48" s="693"/>
      <c r="AU48" s="685"/>
      <c r="AV48" s="692"/>
      <c r="AW48" s="693"/>
      <c r="AX48" s="685"/>
      <c r="AY48" s="692">
        <f t="shared" si="59"/>
        <v>1618785</v>
      </c>
      <c r="AZ48" s="693">
        <f t="shared" si="60"/>
        <v>2822302</v>
      </c>
      <c r="BA48" s="685">
        <f>SUM(AY48,AZ48)</f>
        <v>4441087</v>
      </c>
      <c r="BB48" s="692">
        <f t="shared" si="61"/>
        <v>1618785</v>
      </c>
      <c r="BC48" s="693">
        <f t="shared" si="62"/>
        <v>2745659</v>
      </c>
      <c r="BD48" s="685">
        <f t="shared" si="83"/>
        <v>4364444</v>
      </c>
      <c r="BE48" s="692">
        <f t="shared" si="63"/>
        <v>1618785</v>
      </c>
      <c r="BF48" s="693">
        <f t="shared" si="64"/>
        <v>2669016</v>
      </c>
      <c r="BG48" s="685">
        <f t="shared" si="84"/>
        <v>4287801</v>
      </c>
      <c r="BH48" s="692">
        <f t="shared" si="65"/>
        <v>1618785</v>
      </c>
      <c r="BI48" s="693">
        <f t="shared" si="66"/>
        <v>2592373</v>
      </c>
      <c r="BJ48" s="685">
        <f t="shared" si="85"/>
        <v>4211158</v>
      </c>
      <c r="BK48" s="692">
        <f t="shared" si="67"/>
        <v>1618785</v>
      </c>
      <c r="BL48" s="693">
        <f t="shared" si="68"/>
        <v>2515730</v>
      </c>
      <c r="BM48" s="685">
        <f t="shared" si="86"/>
        <v>4134515</v>
      </c>
      <c r="BN48" s="692">
        <f t="shared" si="69"/>
        <v>1257865</v>
      </c>
      <c r="BO48" s="693">
        <f t="shared" si="70"/>
        <v>1257865</v>
      </c>
      <c r="BP48" s="685">
        <f t="shared" si="71"/>
        <v>2515730</v>
      </c>
      <c r="BQ48" s="692">
        <f t="shared" si="72"/>
        <v>0</v>
      </c>
      <c r="BR48" s="693">
        <f t="shared" si="73"/>
        <v>0</v>
      </c>
      <c r="BS48" s="685">
        <f t="shared" si="74"/>
        <v>0</v>
      </c>
      <c r="BT48" s="692">
        <f t="shared" si="75"/>
        <v>0</v>
      </c>
      <c r="BU48" s="693">
        <f t="shared" si="76"/>
        <v>0</v>
      </c>
      <c r="BV48" s="685">
        <f t="shared" si="77"/>
        <v>0</v>
      </c>
      <c r="BW48" s="692">
        <f t="shared" si="78"/>
        <v>0</v>
      </c>
      <c r="BX48" s="693">
        <f t="shared" si="79"/>
        <v>0</v>
      </c>
      <c r="BY48" s="685">
        <f t="shared" si="80"/>
        <v>0</v>
      </c>
      <c r="BZ48" s="435"/>
    </row>
    <row r="49" spans="1:78">
      <c r="A49" s="698" t="str">
        <f>'HSZ do groszy'!A49</f>
        <v>Obligacje 2017</v>
      </c>
      <c r="B49" s="697" t="e">
        <f>ROUNDUP('HSZ do groszy'!B49,0)</f>
        <v>#VALUE!</v>
      </c>
      <c r="C49" s="684">
        <f>ROUNDUP('HSZ do groszy'!C49,0)</f>
        <v>0</v>
      </c>
      <c r="D49" s="685">
        <f>ROUNDUP('HSZ do groszy'!D49,0)</f>
        <v>0</v>
      </c>
      <c r="E49" s="856">
        <f t="shared" si="54"/>
        <v>1589473</v>
      </c>
      <c r="F49" s="686">
        <f t="shared" si="87"/>
        <v>370004</v>
      </c>
      <c r="G49" s="684">
        <f>ROUNDUP('HSZ do groszy'!G49,0)</f>
        <v>0</v>
      </c>
      <c r="H49" s="685">
        <f>ROUNDUP('HSZ do groszy'!H49,0)</f>
        <v>0</v>
      </c>
      <c r="I49" s="684">
        <f>ROUNDUP('HSZ do groszy'!I49,0)</f>
        <v>0</v>
      </c>
      <c r="J49" s="685">
        <f>ROUNDUP('HSZ do groszy'!J49,0)</f>
        <v>0</v>
      </c>
      <c r="K49" s="687">
        <f>ROUNDUP('HSZ do groszy'!K49,0)</f>
        <v>0</v>
      </c>
      <c r="L49" s="688">
        <f>ROUNDUP('HSZ do groszy'!L49,0)</f>
        <v>0</v>
      </c>
      <c r="M49" s="684">
        <f>ROUNDUP('HSZ do groszy'!M49,0)</f>
        <v>0</v>
      </c>
      <c r="N49" s="685">
        <f>ROUNDUP('HSZ do groszy'!N49,0)</f>
        <v>0</v>
      </c>
      <c r="O49" s="687">
        <f>ROUNDUP('HSZ do groszy'!O49,0)</f>
        <v>0</v>
      </c>
      <c r="P49" s="688">
        <f>ROUNDUP('HSZ do groszy'!P49,0)</f>
        <v>0</v>
      </c>
      <c r="Q49" s="684">
        <f>ROUNDUP('HSZ do groszy'!Q49,0)</f>
        <v>0</v>
      </c>
      <c r="R49" s="685">
        <f>ROUNDUP('HSZ do groszy'!R49,0)</f>
        <v>0</v>
      </c>
      <c r="S49" s="687">
        <f>ROUNDUP('HSZ do groszy'!S49,0)</f>
        <v>0</v>
      </c>
      <c r="T49" s="688">
        <f>ROUNDUP('HSZ do groszy'!T49,0)</f>
        <v>75255</v>
      </c>
      <c r="U49" s="684">
        <f>ROUNDUP('HSZ do groszy'!U49,0)</f>
        <v>0</v>
      </c>
      <c r="V49" s="685">
        <f>ROUNDUP('HSZ do groszy'!V49,0)</f>
        <v>75255</v>
      </c>
      <c r="W49" s="687">
        <f>ROUNDUP('HSZ do groszy'!W49,0)</f>
        <v>0</v>
      </c>
      <c r="X49" s="688">
        <f>ROUNDUP('HSZ do groszy'!X49,0)</f>
        <v>75255</v>
      </c>
      <c r="Y49" s="684">
        <f>ROUNDUP('HSZ do groszy'!Y49,0)</f>
        <v>0</v>
      </c>
      <c r="Z49" s="685">
        <f>ROUNDUP('HSZ do groszy'!Z49,0)</f>
        <v>75255</v>
      </c>
      <c r="AA49" s="687">
        <f>ROUNDUP('HSZ do groszy'!AA49,0)</f>
        <v>1589473</v>
      </c>
      <c r="AB49" s="688">
        <f>ROUNDUP('HSZ do groszy'!AB49,0)</f>
        <v>68984</v>
      </c>
      <c r="AC49" s="684">
        <f>ROUNDUP('HSZ do groszy'!AC49,0)</f>
        <v>0</v>
      </c>
      <c r="AD49" s="685">
        <f>ROUNDUP('HSZ do groszy'!AD49,0)</f>
        <v>0</v>
      </c>
      <c r="AE49" s="687">
        <f>ROUNDUP('HSZ do groszy'!AE49,0)</f>
        <v>0</v>
      </c>
      <c r="AF49" s="685">
        <f>ROUNDUP('HSZ do groszy'!AF49,0)</f>
        <v>0</v>
      </c>
      <c r="AG49" s="687">
        <f>ROUNDUP('HSZ do groszy'!AG49,0)</f>
        <v>0</v>
      </c>
      <c r="AH49" s="689">
        <f>ROUNDUP('HSZ do groszy'!AH49,0)</f>
        <v>0</v>
      </c>
      <c r="AI49" s="435"/>
      <c r="AJ49" s="435"/>
      <c r="AK49" s="690" t="str">
        <f t="shared" si="82"/>
        <v>Obligacje 2017</v>
      </c>
      <c r="AL49" s="691"/>
      <c r="AM49" s="692"/>
      <c r="AN49" s="693"/>
      <c r="AO49" s="685"/>
      <c r="AP49" s="692"/>
      <c r="AQ49" s="693"/>
      <c r="AR49" s="685"/>
      <c r="AS49" s="692"/>
      <c r="AT49" s="693"/>
      <c r="AU49" s="685"/>
      <c r="AV49" s="692"/>
      <c r="AW49" s="693"/>
      <c r="AX49" s="685"/>
      <c r="AY49" s="692"/>
      <c r="AZ49" s="693"/>
      <c r="BA49" s="685"/>
      <c r="BB49" s="692">
        <f t="shared" si="61"/>
        <v>1589473</v>
      </c>
      <c r="BC49" s="693">
        <f t="shared" si="62"/>
        <v>370004</v>
      </c>
      <c r="BD49" s="685">
        <f t="shared" si="83"/>
        <v>1959477</v>
      </c>
      <c r="BE49" s="692">
        <f t="shared" si="63"/>
        <v>1589473</v>
      </c>
      <c r="BF49" s="693">
        <f t="shared" si="64"/>
        <v>294749</v>
      </c>
      <c r="BG49" s="685">
        <f t="shared" si="84"/>
        <v>1884222</v>
      </c>
      <c r="BH49" s="692">
        <f t="shared" si="65"/>
        <v>1589473</v>
      </c>
      <c r="BI49" s="693">
        <f t="shared" si="66"/>
        <v>219494</v>
      </c>
      <c r="BJ49" s="685">
        <f t="shared" si="85"/>
        <v>1808967</v>
      </c>
      <c r="BK49" s="692">
        <f t="shared" si="67"/>
        <v>1589473</v>
      </c>
      <c r="BL49" s="693">
        <f t="shared" si="68"/>
        <v>144239</v>
      </c>
      <c r="BM49" s="685">
        <f t="shared" si="86"/>
        <v>1733712</v>
      </c>
      <c r="BN49" s="692">
        <f t="shared" si="69"/>
        <v>1589473</v>
      </c>
      <c r="BO49" s="693">
        <f t="shared" si="70"/>
        <v>68984</v>
      </c>
      <c r="BP49" s="685">
        <f t="shared" si="71"/>
        <v>1658457</v>
      </c>
      <c r="BQ49" s="692">
        <f t="shared" si="72"/>
        <v>0</v>
      </c>
      <c r="BR49" s="693">
        <f t="shared" si="73"/>
        <v>0</v>
      </c>
      <c r="BS49" s="685">
        <f t="shared" si="74"/>
        <v>0</v>
      </c>
      <c r="BT49" s="692">
        <f t="shared" si="75"/>
        <v>0</v>
      </c>
      <c r="BU49" s="693">
        <f t="shared" si="76"/>
        <v>0</v>
      </c>
      <c r="BV49" s="685">
        <f t="shared" si="77"/>
        <v>0</v>
      </c>
      <c r="BW49" s="692">
        <f t="shared" si="78"/>
        <v>0</v>
      </c>
      <c r="BX49" s="693">
        <f t="shared" si="79"/>
        <v>0</v>
      </c>
      <c r="BY49" s="685">
        <f t="shared" si="80"/>
        <v>0</v>
      </c>
      <c r="BZ49" s="435"/>
    </row>
    <row r="50" spans="1:78">
      <c r="A50" s="698" t="str">
        <f>'HSZ do groszy'!A50</f>
        <v>Obligacje 2018</v>
      </c>
      <c r="B50" s="697" t="e">
        <f>ROUNDUP('HSZ do groszy'!B50,0)</f>
        <v>#VALUE!</v>
      </c>
      <c r="C50" s="684">
        <f>ROUNDUP('HSZ do groszy'!C50,0)</f>
        <v>0</v>
      </c>
      <c r="D50" s="685">
        <f>ROUNDUP('HSZ do groszy'!D50,0)</f>
        <v>0</v>
      </c>
      <c r="E50" s="856">
        <f t="shared" si="54"/>
        <v>1538478</v>
      </c>
      <c r="F50" s="686">
        <f t="shared" si="87"/>
        <v>285290</v>
      </c>
      <c r="G50" s="684">
        <f>ROUNDUP('HSZ do groszy'!G50,0)</f>
        <v>0</v>
      </c>
      <c r="H50" s="685">
        <f>ROUNDUP('HSZ do groszy'!H50,0)</f>
        <v>0</v>
      </c>
      <c r="I50" s="684">
        <f>ROUNDUP('HSZ do groszy'!I50,0)</f>
        <v>0</v>
      </c>
      <c r="J50" s="685">
        <f>ROUNDUP('HSZ do groszy'!J50,0)</f>
        <v>0</v>
      </c>
      <c r="K50" s="687">
        <f>ROUNDUP('HSZ do groszy'!K50,0)</f>
        <v>0</v>
      </c>
      <c r="L50" s="688">
        <f>ROUNDUP('HSZ do groszy'!L50,0)</f>
        <v>0</v>
      </c>
      <c r="M50" s="684">
        <f>ROUNDUP('HSZ do groszy'!M50,0)</f>
        <v>0</v>
      </c>
      <c r="N50" s="685">
        <f>ROUNDUP('HSZ do groszy'!N50,0)</f>
        <v>0</v>
      </c>
      <c r="O50" s="687">
        <f>ROUNDUP('HSZ do groszy'!O50,0)</f>
        <v>0</v>
      </c>
      <c r="P50" s="688">
        <f>ROUNDUP('HSZ do groszy'!P50,0)</f>
        <v>0</v>
      </c>
      <c r="Q50" s="684">
        <f>ROUNDUP('HSZ do groszy'!Q50,0)</f>
        <v>0</v>
      </c>
      <c r="R50" s="685">
        <f>ROUNDUP('HSZ do groszy'!R50,0)</f>
        <v>0</v>
      </c>
      <c r="S50" s="687">
        <f>ROUNDUP('HSZ do groszy'!S50,0)</f>
        <v>0</v>
      </c>
      <c r="T50" s="688">
        <f>ROUNDUP('HSZ do groszy'!T50,0)</f>
        <v>0</v>
      </c>
      <c r="U50" s="684">
        <f>ROUNDUP('HSZ do groszy'!U50,0)</f>
        <v>0</v>
      </c>
      <c r="V50" s="685">
        <f>ROUNDUP('HSZ do groszy'!V50,0)</f>
        <v>72840</v>
      </c>
      <c r="W50" s="687">
        <f>ROUNDUP('HSZ do groszy'!W50,0)</f>
        <v>0</v>
      </c>
      <c r="X50" s="688">
        <f>ROUNDUP('HSZ do groszy'!X50,0)</f>
        <v>72840</v>
      </c>
      <c r="Y50" s="684">
        <f>ROUNDUP('HSZ do groszy'!Y50,0)</f>
        <v>0</v>
      </c>
      <c r="Z50" s="685">
        <f>ROUNDUP('HSZ do groszy'!Z50,0)</f>
        <v>72840</v>
      </c>
      <c r="AA50" s="687">
        <f>ROUNDUP('HSZ do groszy'!AA50,0)</f>
        <v>1538478</v>
      </c>
      <c r="AB50" s="688">
        <f>ROUNDUP('HSZ do groszy'!AB50,0)</f>
        <v>66770</v>
      </c>
      <c r="AC50" s="684">
        <f>ROUNDUP('HSZ do groszy'!AC50,0)</f>
        <v>0</v>
      </c>
      <c r="AD50" s="685">
        <f>ROUNDUP('HSZ do groszy'!AD50,0)</f>
        <v>0</v>
      </c>
      <c r="AE50" s="687">
        <f>ROUNDUP('HSZ do groszy'!AE50,0)</f>
        <v>0</v>
      </c>
      <c r="AF50" s="685">
        <f>ROUNDUP('HSZ do groszy'!AF50,0)</f>
        <v>0</v>
      </c>
      <c r="AG50" s="687">
        <f>ROUNDUP('HSZ do groszy'!AG50,0)</f>
        <v>0</v>
      </c>
      <c r="AH50" s="689">
        <f>ROUNDUP('HSZ do groszy'!AH50,0)</f>
        <v>0</v>
      </c>
      <c r="AI50" s="435"/>
      <c r="AJ50" s="435"/>
      <c r="AK50" s="690" t="str">
        <f t="shared" si="82"/>
        <v>Obligacje 2018</v>
      </c>
      <c r="AL50" s="691"/>
      <c r="AM50" s="692"/>
      <c r="AN50" s="693"/>
      <c r="AO50" s="685"/>
      <c r="AP50" s="692"/>
      <c r="AQ50" s="693"/>
      <c r="AR50" s="685"/>
      <c r="AS50" s="692"/>
      <c r="AT50" s="693"/>
      <c r="AU50" s="685"/>
      <c r="AV50" s="692"/>
      <c r="AW50" s="693"/>
      <c r="AX50" s="685"/>
      <c r="AY50" s="692"/>
      <c r="AZ50" s="693"/>
      <c r="BA50" s="685"/>
      <c r="BB50" s="692"/>
      <c r="BC50" s="693"/>
      <c r="BD50" s="685"/>
      <c r="BE50" s="692">
        <f t="shared" si="63"/>
        <v>1538478</v>
      </c>
      <c r="BF50" s="693">
        <f t="shared" si="64"/>
        <v>285290</v>
      </c>
      <c r="BG50" s="685">
        <f t="shared" si="84"/>
        <v>1823768</v>
      </c>
      <c r="BH50" s="692">
        <f t="shared" si="65"/>
        <v>1538478</v>
      </c>
      <c r="BI50" s="693">
        <f t="shared" si="66"/>
        <v>212450</v>
      </c>
      <c r="BJ50" s="685">
        <f t="shared" si="85"/>
        <v>1750928</v>
      </c>
      <c r="BK50" s="692">
        <f t="shared" si="67"/>
        <v>1538478</v>
      </c>
      <c r="BL50" s="693">
        <f t="shared" si="68"/>
        <v>139610</v>
      </c>
      <c r="BM50" s="685">
        <f t="shared" si="86"/>
        <v>1678088</v>
      </c>
      <c r="BN50" s="692">
        <f t="shared" si="69"/>
        <v>1538478</v>
      </c>
      <c r="BO50" s="693">
        <f t="shared" si="70"/>
        <v>66770</v>
      </c>
      <c r="BP50" s="685">
        <f t="shared" si="71"/>
        <v>1605248</v>
      </c>
      <c r="BQ50" s="692">
        <f t="shared" si="72"/>
        <v>0</v>
      </c>
      <c r="BR50" s="693">
        <f t="shared" si="73"/>
        <v>0</v>
      </c>
      <c r="BS50" s="685">
        <f t="shared" si="74"/>
        <v>0</v>
      </c>
      <c r="BT50" s="692">
        <f t="shared" si="75"/>
        <v>0</v>
      </c>
      <c r="BU50" s="693">
        <f t="shared" si="76"/>
        <v>0</v>
      </c>
      <c r="BV50" s="685">
        <f t="shared" si="77"/>
        <v>0</v>
      </c>
      <c r="BW50" s="692">
        <f t="shared" si="78"/>
        <v>0</v>
      </c>
      <c r="BX50" s="693">
        <f t="shared" si="79"/>
        <v>0</v>
      </c>
      <c r="BY50" s="685">
        <f t="shared" si="80"/>
        <v>0</v>
      </c>
      <c r="BZ50" s="435"/>
    </row>
    <row r="51" spans="1:78">
      <c r="A51" s="698" t="str">
        <f>'HSZ do groszy'!A51</f>
        <v>Obligacje 2019</v>
      </c>
      <c r="B51" s="697" t="e">
        <f>ROUNDUP('HSZ do groszy'!B51,0)</f>
        <v>#VALUE!</v>
      </c>
      <c r="C51" s="684">
        <f>ROUNDUP('HSZ do groszy'!C51,0)</f>
        <v>0</v>
      </c>
      <c r="D51" s="685">
        <f>ROUNDUP('HSZ do groszy'!D51,0)</f>
        <v>0</v>
      </c>
      <c r="E51" s="856">
        <f t="shared" si="54"/>
        <v>1941660</v>
      </c>
      <c r="F51" s="686">
        <f t="shared" si="87"/>
        <v>283632</v>
      </c>
      <c r="G51" s="684">
        <f>ROUNDUP('HSZ do groszy'!G51,0)</f>
        <v>0</v>
      </c>
      <c r="H51" s="685">
        <f>ROUNDUP('HSZ do groszy'!H51,0)</f>
        <v>0</v>
      </c>
      <c r="I51" s="684">
        <f>ROUNDUP('HSZ do groszy'!I51,0)</f>
        <v>0</v>
      </c>
      <c r="J51" s="685">
        <f>ROUNDUP('HSZ do groszy'!J51,0)</f>
        <v>0</v>
      </c>
      <c r="K51" s="687">
        <f>ROUNDUP('HSZ do groszy'!K51,0)</f>
        <v>0</v>
      </c>
      <c r="L51" s="688">
        <f>ROUNDUP('HSZ do groszy'!L51,0)</f>
        <v>0</v>
      </c>
      <c r="M51" s="684">
        <f>ROUNDUP('HSZ do groszy'!M51,0)</f>
        <v>0</v>
      </c>
      <c r="N51" s="685">
        <f>ROUNDUP('HSZ do groszy'!N51,0)</f>
        <v>0</v>
      </c>
      <c r="O51" s="687">
        <f>ROUNDUP('HSZ do groszy'!O51,0)</f>
        <v>0</v>
      </c>
      <c r="P51" s="688">
        <f>ROUNDUP('HSZ do groszy'!P51,0)</f>
        <v>0</v>
      </c>
      <c r="Q51" s="684">
        <f>ROUNDUP('HSZ do groszy'!Q51,0)</f>
        <v>0</v>
      </c>
      <c r="R51" s="685">
        <f>ROUNDUP('HSZ do groszy'!R51,0)</f>
        <v>0</v>
      </c>
      <c r="S51" s="687">
        <f>ROUNDUP('HSZ do groszy'!S51,0)</f>
        <v>0</v>
      </c>
      <c r="T51" s="688">
        <f>ROUNDUP('HSZ do groszy'!T51,0)</f>
        <v>0</v>
      </c>
      <c r="U51" s="684">
        <f>ROUNDUP('HSZ do groszy'!U51,0)</f>
        <v>0</v>
      </c>
      <c r="V51" s="685">
        <f>ROUNDUP('HSZ do groszy'!V51,0)</f>
        <v>0</v>
      </c>
      <c r="W51" s="687">
        <f>ROUNDUP('HSZ do groszy'!W51,0)</f>
        <v>0</v>
      </c>
      <c r="X51" s="688">
        <f>ROUNDUP('HSZ do groszy'!X51,0)</f>
        <v>91929</v>
      </c>
      <c r="Y51" s="684">
        <f>ROUNDUP('HSZ do groszy'!Y51,0)</f>
        <v>0</v>
      </c>
      <c r="Z51" s="685">
        <f>ROUNDUP('HSZ do groszy'!Z51,0)</f>
        <v>91929</v>
      </c>
      <c r="AA51" s="687">
        <f>ROUNDUP('HSZ do groszy'!AA51,0)</f>
        <v>1614184</v>
      </c>
      <c r="AB51" s="688">
        <f>ROUNDUP('HSZ do groszy'!AB51,0)</f>
        <v>85561</v>
      </c>
      <c r="AC51" s="684">
        <f>ROUNDUP('HSZ do groszy'!AC51,0)</f>
        <v>327476</v>
      </c>
      <c r="AD51" s="685">
        <f>ROUNDUP('HSZ do groszy'!AD51,0)</f>
        <v>14213</v>
      </c>
      <c r="AE51" s="687">
        <f>ROUNDUP('HSZ do groszy'!AE51,0)</f>
        <v>0</v>
      </c>
      <c r="AF51" s="685">
        <f>ROUNDUP('HSZ do groszy'!AF51,0)</f>
        <v>0</v>
      </c>
      <c r="AG51" s="687">
        <f>ROUNDUP('HSZ do groszy'!AG51,0)</f>
        <v>0</v>
      </c>
      <c r="AH51" s="689">
        <f>ROUNDUP('HSZ do groszy'!AH51,0)</f>
        <v>0</v>
      </c>
      <c r="AI51" s="435"/>
      <c r="AJ51" s="435"/>
      <c r="AK51" s="690" t="str">
        <f t="shared" si="82"/>
        <v>Obligacje 2019</v>
      </c>
      <c r="AL51" s="691"/>
      <c r="AM51" s="692"/>
      <c r="AN51" s="693"/>
      <c r="AO51" s="685"/>
      <c r="AP51" s="692"/>
      <c r="AQ51" s="693"/>
      <c r="AR51" s="685"/>
      <c r="AS51" s="692"/>
      <c r="AT51" s="693"/>
      <c r="AU51" s="685"/>
      <c r="AV51" s="692"/>
      <c r="AW51" s="693"/>
      <c r="AX51" s="685"/>
      <c r="AY51" s="692"/>
      <c r="AZ51" s="693"/>
      <c r="BA51" s="685"/>
      <c r="BB51" s="692"/>
      <c r="BC51" s="693"/>
      <c r="BD51" s="685"/>
      <c r="BE51" s="692"/>
      <c r="BF51" s="693"/>
      <c r="BG51" s="685"/>
      <c r="BH51" s="692">
        <f t="shared" si="65"/>
        <v>1941660</v>
      </c>
      <c r="BI51" s="693">
        <f t="shared" si="66"/>
        <v>283632</v>
      </c>
      <c r="BJ51" s="685">
        <f t="shared" si="85"/>
        <v>2225292</v>
      </c>
      <c r="BK51" s="692">
        <f t="shared" si="67"/>
        <v>1941660</v>
      </c>
      <c r="BL51" s="693">
        <f t="shared" si="68"/>
        <v>191703</v>
      </c>
      <c r="BM51" s="685">
        <f t="shared" si="86"/>
        <v>2133363</v>
      </c>
      <c r="BN51" s="692">
        <f t="shared" si="69"/>
        <v>1941660</v>
      </c>
      <c r="BO51" s="693">
        <f t="shared" si="70"/>
        <v>99774</v>
      </c>
      <c r="BP51" s="685">
        <f t="shared" si="71"/>
        <v>2041434</v>
      </c>
      <c r="BQ51" s="692">
        <f t="shared" si="72"/>
        <v>327476</v>
      </c>
      <c r="BR51" s="693">
        <f t="shared" si="73"/>
        <v>14213</v>
      </c>
      <c r="BS51" s="685">
        <f t="shared" si="74"/>
        <v>341689</v>
      </c>
      <c r="BT51" s="692">
        <f t="shared" si="75"/>
        <v>0</v>
      </c>
      <c r="BU51" s="693">
        <f t="shared" si="76"/>
        <v>0</v>
      </c>
      <c r="BV51" s="685">
        <f t="shared" si="77"/>
        <v>0</v>
      </c>
      <c r="BW51" s="692">
        <f t="shared" si="78"/>
        <v>0</v>
      </c>
      <c r="BX51" s="693">
        <f t="shared" si="79"/>
        <v>0</v>
      </c>
      <c r="BY51" s="685">
        <f t="shared" si="80"/>
        <v>0</v>
      </c>
      <c r="BZ51" s="435"/>
    </row>
    <row r="52" spans="1:78">
      <c r="A52" s="698" t="str">
        <f>'HSZ do groszy'!A52</f>
        <v>Obligacje 2020</v>
      </c>
      <c r="B52" s="697" t="e">
        <f>ROUNDUP('HSZ do groszy'!B52,0)</f>
        <v>#VALUE!</v>
      </c>
      <c r="C52" s="684">
        <f>ROUNDUP('HSZ do groszy'!C52,0)</f>
        <v>0</v>
      </c>
      <c r="D52" s="685">
        <f>ROUNDUP('HSZ do groszy'!D52,0)</f>
        <v>0</v>
      </c>
      <c r="E52" s="856">
        <f t="shared" si="54"/>
        <v>1921317</v>
      </c>
      <c r="F52" s="686">
        <f t="shared" si="87"/>
        <v>265318</v>
      </c>
      <c r="G52" s="684">
        <f>ROUNDUP('HSZ do groszy'!G52,0)</f>
        <v>0</v>
      </c>
      <c r="H52" s="685">
        <f>ROUNDUP('HSZ do groszy'!H52,0)</f>
        <v>0</v>
      </c>
      <c r="I52" s="684">
        <f>ROUNDUP('HSZ do groszy'!I52,0)</f>
        <v>0</v>
      </c>
      <c r="J52" s="685">
        <f>ROUNDUP('HSZ do groszy'!J52,0)</f>
        <v>0</v>
      </c>
      <c r="K52" s="687">
        <f>ROUNDUP('HSZ do groszy'!K52,0)</f>
        <v>0</v>
      </c>
      <c r="L52" s="688">
        <f>ROUNDUP('HSZ do groszy'!L52,0)</f>
        <v>0</v>
      </c>
      <c r="M52" s="684">
        <f>ROUNDUP('HSZ do groszy'!M52,0)</f>
        <v>0</v>
      </c>
      <c r="N52" s="685">
        <f>ROUNDUP('HSZ do groszy'!N52,0)</f>
        <v>0</v>
      </c>
      <c r="O52" s="687">
        <f>ROUNDUP('HSZ do groszy'!O52,0)</f>
        <v>0</v>
      </c>
      <c r="P52" s="688">
        <f>ROUNDUP('HSZ do groszy'!P52,0)</f>
        <v>0</v>
      </c>
      <c r="Q52" s="684">
        <f>ROUNDUP('HSZ do groszy'!Q52,0)</f>
        <v>0</v>
      </c>
      <c r="R52" s="685">
        <f>ROUNDUP('HSZ do groszy'!R52,0)</f>
        <v>0</v>
      </c>
      <c r="S52" s="687">
        <f>ROUNDUP('HSZ do groszy'!S52,0)</f>
        <v>0</v>
      </c>
      <c r="T52" s="688">
        <f>ROUNDUP('HSZ do groszy'!T52,0)</f>
        <v>0</v>
      </c>
      <c r="U52" s="684">
        <f>ROUNDUP('HSZ do groszy'!U52,0)</f>
        <v>0</v>
      </c>
      <c r="V52" s="685">
        <f>ROUNDUP('HSZ do groszy'!V52,0)</f>
        <v>0</v>
      </c>
      <c r="W52" s="687">
        <f>ROUNDUP('HSZ do groszy'!W52,0)</f>
        <v>0</v>
      </c>
      <c r="X52" s="688">
        <f>ROUNDUP('HSZ do groszy'!X52,0)</f>
        <v>0</v>
      </c>
      <c r="Y52" s="684">
        <f>ROUNDUP('HSZ do groszy'!Y52,0)</f>
        <v>0</v>
      </c>
      <c r="Z52" s="685">
        <f>ROUNDUP('HSZ do groszy'!Z52,0)</f>
        <v>90966</v>
      </c>
      <c r="AA52" s="687">
        <f>ROUNDUP('HSZ do groszy'!AA52,0)</f>
        <v>0</v>
      </c>
      <c r="AB52" s="688">
        <f>ROUNDUP('HSZ do groszy'!AB52,0)</f>
        <v>90966</v>
      </c>
      <c r="AC52" s="684">
        <f>ROUNDUP('HSZ do groszy'!AC52,0)</f>
        <v>1921317</v>
      </c>
      <c r="AD52" s="685">
        <f>ROUNDUP('HSZ do groszy'!AD52,0)</f>
        <v>83386</v>
      </c>
      <c r="AE52" s="687">
        <f>ROUNDUP('HSZ do groszy'!AE52,0)</f>
        <v>0</v>
      </c>
      <c r="AF52" s="685">
        <f>ROUNDUP('HSZ do groszy'!AF52,0)</f>
        <v>0</v>
      </c>
      <c r="AG52" s="687">
        <f>ROUNDUP('HSZ do groszy'!AG52,0)</f>
        <v>0</v>
      </c>
      <c r="AH52" s="689">
        <f>ROUNDUP('HSZ do groszy'!AH52,0)</f>
        <v>0</v>
      </c>
      <c r="AI52" s="435"/>
      <c r="AJ52" s="435"/>
      <c r="AK52" s="690" t="str">
        <f t="shared" si="82"/>
        <v>Obligacje 2020</v>
      </c>
      <c r="AL52" s="691"/>
      <c r="AM52" s="692"/>
      <c r="AN52" s="693"/>
      <c r="AO52" s="685"/>
      <c r="AP52" s="692"/>
      <c r="AQ52" s="693"/>
      <c r="AR52" s="685"/>
      <c r="AS52" s="692"/>
      <c r="AT52" s="693"/>
      <c r="AU52" s="685"/>
      <c r="AV52" s="692"/>
      <c r="AW52" s="693"/>
      <c r="AX52" s="685"/>
      <c r="AY52" s="692"/>
      <c r="AZ52" s="693"/>
      <c r="BA52" s="685"/>
      <c r="BB52" s="692"/>
      <c r="BC52" s="693"/>
      <c r="BD52" s="685"/>
      <c r="BE52" s="692"/>
      <c r="BF52" s="693"/>
      <c r="BG52" s="685"/>
      <c r="BH52" s="692"/>
      <c r="BI52" s="693"/>
      <c r="BJ52" s="685"/>
      <c r="BK52" s="692">
        <f t="shared" si="67"/>
        <v>1921317</v>
      </c>
      <c r="BL52" s="693">
        <f t="shared" si="68"/>
        <v>265318</v>
      </c>
      <c r="BM52" s="685">
        <f t="shared" si="86"/>
        <v>2186635</v>
      </c>
      <c r="BN52" s="692">
        <f t="shared" si="69"/>
        <v>1921317</v>
      </c>
      <c r="BO52" s="693">
        <f t="shared" si="70"/>
        <v>174352</v>
      </c>
      <c r="BP52" s="685">
        <f t="shared" si="71"/>
        <v>2095669</v>
      </c>
      <c r="BQ52" s="692">
        <f>SUM($AC52,$AE52,$AG52)</f>
        <v>1921317</v>
      </c>
      <c r="BR52" s="693">
        <f t="shared" si="73"/>
        <v>83386</v>
      </c>
      <c r="BS52" s="685">
        <f t="shared" si="74"/>
        <v>2004703</v>
      </c>
      <c r="BT52" s="692">
        <f t="shared" si="75"/>
        <v>0</v>
      </c>
      <c r="BU52" s="693">
        <f t="shared" si="76"/>
        <v>0</v>
      </c>
      <c r="BV52" s="685">
        <f t="shared" si="77"/>
        <v>0</v>
      </c>
      <c r="BW52" s="692">
        <f t="shared" si="78"/>
        <v>0</v>
      </c>
      <c r="BX52" s="693">
        <f t="shared" si="79"/>
        <v>0</v>
      </c>
      <c r="BY52" s="685">
        <f t="shared" si="80"/>
        <v>0</v>
      </c>
      <c r="BZ52" s="435"/>
    </row>
    <row r="53" spans="1:78">
      <c r="A53" s="698" t="str">
        <f>'HSZ do groszy'!A53</f>
        <v>Obligacje 2021</v>
      </c>
      <c r="B53" s="697" t="e">
        <f>ROUNDUP('HSZ do groszy'!B53,0)</f>
        <v>#VALUE!</v>
      </c>
      <c r="C53" s="684">
        <f>ROUNDUP('HSZ do groszy'!C53,0)</f>
        <v>0</v>
      </c>
      <c r="D53" s="685">
        <f>ROUNDUP('HSZ do groszy'!D53,0)</f>
        <v>0</v>
      </c>
      <c r="E53" s="856">
        <f t="shared" si="54"/>
        <v>1921317</v>
      </c>
      <c r="F53" s="686">
        <f t="shared" si="87"/>
        <v>174352</v>
      </c>
      <c r="G53" s="684">
        <f>ROUNDUP('HSZ do groszy'!G53,0)</f>
        <v>0</v>
      </c>
      <c r="H53" s="685">
        <f>ROUNDUP('HSZ do groszy'!H53,0)</f>
        <v>0</v>
      </c>
      <c r="I53" s="684">
        <f>ROUNDUP('HSZ do groszy'!I53,0)</f>
        <v>0</v>
      </c>
      <c r="J53" s="685">
        <f>ROUNDUP('HSZ do groszy'!J53,0)</f>
        <v>0</v>
      </c>
      <c r="K53" s="687">
        <f>ROUNDUP('HSZ do groszy'!K53,0)</f>
        <v>0</v>
      </c>
      <c r="L53" s="688">
        <f>ROUNDUP('HSZ do groszy'!L53,0)</f>
        <v>0</v>
      </c>
      <c r="M53" s="684">
        <f>ROUNDUP('HSZ do groszy'!M53,0)</f>
        <v>0</v>
      </c>
      <c r="N53" s="685">
        <f>ROUNDUP('HSZ do groszy'!N53,0)</f>
        <v>0</v>
      </c>
      <c r="O53" s="687">
        <f>ROUNDUP('HSZ do groszy'!O53,0)</f>
        <v>0</v>
      </c>
      <c r="P53" s="688">
        <f>ROUNDUP('HSZ do groszy'!P53,0)</f>
        <v>0</v>
      </c>
      <c r="Q53" s="684">
        <f>ROUNDUP('HSZ do groszy'!Q53,0)</f>
        <v>0</v>
      </c>
      <c r="R53" s="685">
        <f>ROUNDUP('HSZ do groszy'!R53,0)</f>
        <v>0</v>
      </c>
      <c r="S53" s="687">
        <f>ROUNDUP('HSZ do groszy'!S53,0)</f>
        <v>0</v>
      </c>
      <c r="T53" s="688">
        <f>ROUNDUP('HSZ do groszy'!T53,0)</f>
        <v>0</v>
      </c>
      <c r="U53" s="684">
        <f>ROUNDUP('HSZ do groszy'!U53,0)</f>
        <v>0</v>
      </c>
      <c r="V53" s="685">
        <f>ROUNDUP('HSZ do groszy'!V53,0)</f>
        <v>0</v>
      </c>
      <c r="W53" s="687">
        <f>ROUNDUP('HSZ do groszy'!W53,0)</f>
        <v>0</v>
      </c>
      <c r="X53" s="688">
        <f>ROUNDUP('HSZ do groszy'!X53,0)</f>
        <v>0</v>
      </c>
      <c r="Y53" s="684">
        <f>ROUNDUP('HSZ do groszy'!Y53,0)</f>
        <v>0</v>
      </c>
      <c r="Z53" s="685">
        <f>ROUNDUP('HSZ do groszy'!Z53,0)</f>
        <v>0</v>
      </c>
      <c r="AA53" s="687">
        <f>ROUNDUP('HSZ do groszy'!AA53,0)</f>
        <v>0</v>
      </c>
      <c r="AB53" s="688">
        <f>ROUNDUP('HSZ do groszy'!AB53,0)</f>
        <v>90966</v>
      </c>
      <c r="AC53" s="684">
        <f>ROUNDUP('HSZ do groszy'!AC53,0)</f>
        <v>1921317</v>
      </c>
      <c r="AD53" s="685">
        <f>ROUNDUP('HSZ do groszy'!AD53,0)</f>
        <v>83386</v>
      </c>
      <c r="AE53" s="687">
        <f>ROUNDUP('HSZ do groszy'!AE53,0)</f>
        <v>0</v>
      </c>
      <c r="AF53" s="685">
        <f>ROUNDUP('HSZ do groszy'!AF53,0)</f>
        <v>0</v>
      </c>
      <c r="AG53" s="687">
        <f>ROUNDUP('HSZ do groszy'!AG53,0)</f>
        <v>0</v>
      </c>
      <c r="AH53" s="689">
        <f>ROUNDUP('HSZ do groszy'!AH53,0)</f>
        <v>0</v>
      </c>
      <c r="AI53" s="435"/>
      <c r="AJ53" s="435"/>
      <c r="AK53" s="690" t="str">
        <f>A53</f>
        <v>Obligacje 2021</v>
      </c>
      <c r="AL53" s="691"/>
      <c r="AM53" s="692"/>
      <c r="AN53" s="693"/>
      <c r="AO53" s="685"/>
      <c r="AP53" s="692"/>
      <c r="AQ53" s="693"/>
      <c r="AR53" s="685"/>
      <c r="AS53" s="692"/>
      <c r="AT53" s="693"/>
      <c r="AU53" s="685"/>
      <c r="AV53" s="692"/>
      <c r="AW53" s="693"/>
      <c r="AX53" s="685"/>
      <c r="AY53" s="692"/>
      <c r="AZ53" s="693"/>
      <c r="BA53" s="685"/>
      <c r="BB53" s="692"/>
      <c r="BC53" s="693"/>
      <c r="BD53" s="685"/>
      <c r="BE53" s="692"/>
      <c r="BF53" s="693"/>
      <c r="BG53" s="685"/>
      <c r="BH53" s="692"/>
      <c r="BI53" s="693"/>
      <c r="BJ53" s="685"/>
      <c r="BK53" s="692"/>
      <c r="BL53" s="693"/>
      <c r="BM53" s="685"/>
      <c r="BN53" s="692">
        <f t="shared" si="69"/>
        <v>1921317</v>
      </c>
      <c r="BO53" s="693">
        <f t="shared" si="70"/>
        <v>174352</v>
      </c>
      <c r="BP53" s="685">
        <f t="shared" si="71"/>
        <v>2095669</v>
      </c>
      <c r="BQ53" s="692">
        <f t="shared" si="72"/>
        <v>1921317</v>
      </c>
      <c r="BR53" s="693">
        <f t="shared" si="73"/>
        <v>83386</v>
      </c>
      <c r="BS53" s="685">
        <f t="shared" si="74"/>
        <v>2004703</v>
      </c>
      <c r="BT53" s="692">
        <f t="shared" si="75"/>
        <v>0</v>
      </c>
      <c r="BU53" s="693">
        <f t="shared" si="76"/>
        <v>0</v>
      </c>
      <c r="BV53" s="685">
        <f t="shared" si="77"/>
        <v>0</v>
      </c>
      <c r="BW53" s="692">
        <f t="shared" si="78"/>
        <v>0</v>
      </c>
      <c r="BX53" s="693">
        <f t="shared" si="79"/>
        <v>0</v>
      </c>
      <c r="BY53" s="685">
        <f t="shared" si="80"/>
        <v>0</v>
      </c>
      <c r="BZ53" s="435"/>
    </row>
    <row r="54" spans="1:78">
      <c r="A54" s="698" t="str">
        <f>'HSZ do groszy'!A54</f>
        <v>Obligacje 2022</v>
      </c>
      <c r="B54" s="697" t="e">
        <f>ROUNDUP('HSZ do groszy'!B54,0)</f>
        <v>#VALUE!</v>
      </c>
      <c r="C54" s="684">
        <f>ROUNDUP('HSZ do groszy'!C54,0)</f>
        <v>0</v>
      </c>
      <c r="D54" s="685">
        <f>ROUNDUP('HSZ do groszy'!D54,0)</f>
        <v>0</v>
      </c>
      <c r="E54" s="856">
        <f t="shared" si="54"/>
        <v>2421317</v>
      </c>
      <c r="F54" s="686">
        <f t="shared" si="87"/>
        <v>133087</v>
      </c>
      <c r="G54" s="684">
        <f>ROUNDUP('HSZ do groszy'!G54,0)</f>
        <v>0</v>
      </c>
      <c r="H54" s="685">
        <f>ROUNDUP('HSZ do groszy'!H54,0)</f>
        <v>0</v>
      </c>
      <c r="I54" s="684">
        <f>ROUNDUP('HSZ do groszy'!I54,0)</f>
        <v>0</v>
      </c>
      <c r="J54" s="685">
        <f>ROUNDUP('HSZ do groszy'!J54,0)</f>
        <v>0</v>
      </c>
      <c r="K54" s="687">
        <f>ROUNDUP('HSZ do groszy'!K54,0)</f>
        <v>0</v>
      </c>
      <c r="L54" s="688">
        <f>ROUNDUP('HSZ do groszy'!L54,0)</f>
        <v>0</v>
      </c>
      <c r="M54" s="684">
        <f>ROUNDUP('HSZ do groszy'!M54,0)</f>
        <v>0</v>
      </c>
      <c r="N54" s="685">
        <f>ROUNDUP('HSZ do groszy'!N54,0)</f>
        <v>0</v>
      </c>
      <c r="O54" s="687">
        <f>ROUNDUP('HSZ do groszy'!O54,0)</f>
        <v>0</v>
      </c>
      <c r="P54" s="688">
        <f>ROUNDUP('HSZ do groszy'!P54,0)</f>
        <v>0</v>
      </c>
      <c r="Q54" s="684">
        <f>ROUNDUP('HSZ do groszy'!Q54,0)</f>
        <v>0</v>
      </c>
      <c r="R54" s="685">
        <f>ROUNDUP('HSZ do groszy'!R54,0)</f>
        <v>0</v>
      </c>
      <c r="S54" s="687">
        <f>ROUNDUP('HSZ do groszy'!S54,0)</f>
        <v>0</v>
      </c>
      <c r="T54" s="688">
        <f>ROUNDUP('HSZ do groszy'!T54,0)</f>
        <v>0</v>
      </c>
      <c r="U54" s="684">
        <f>ROUNDUP('HSZ do groszy'!U54,0)</f>
        <v>0</v>
      </c>
      <c r="V54" s="685">
        <f>ROUNDUP('HSZ do groszy'!V54,0)</f>
        <v>0</v>
      </c>
      <c r="W54" s="687">
        <f>ROUNDUP('HSZ do groszy'!W54,0)</f>
        <v>0</v>
      </c>
      <c r="X54" s="688">
        <f>ROUNDUP('HSZ do groszy'!X54,0)</f>
        <v>0</v>
      </c>
      <c r="Y54" s="684">
        <f>ROUNDUP('HSZ do groszy'!Y54,0)</f>
        <v>0</v>
      </c>
      <c r="Z54" s="685">
        <f>ROUNDUP('HSZ do groszy'!Z54,0)</f>
        <v>0</v>
      </c>
      <c r="AA54" s="687">
        <f>ROUNDUP('HSZ do groszy'!AA54,0)</f>
        <v>0</v>
      </c>
      <c r="AB54" s="688">
        <f>ROUNDUP('HSZ do groszy'!AB54,0)</f>
        <v>0</v>
      </c>
      <c r="AC54" s="684">
        <f>ROUNDUP('HSZ do groszy'!AC54,0)</f>
        <v>1829890</v>
      </c>
      <c r="AD54" s="685">
        <f>ROUNDUP('HSZ do groszy'!AD54,0)</f>
        <v>107419</v>
      </c>
      <c r="AE54" s="687">
        <f>ROUNDUP('HSZ do groszy'!AE54,0)</f>
        <v>591427</v>
      </c>
      <c r="AF54" s="685">
        <f>ROUNDUP('HSZ do groszy'!AF54,0)</f>
        <v>25668</v>
      </c>
      <c r="AG54" s="687">
        <f>ROUNDUP('HSZ do groszy'!AG54,0)</f>
        <v>0</v>
      </c>
      <c r="AH54" s="689">
        <f>ROUNDUP('HSZ do groszy'!AH54,0)</f>
        <v>0</v>
      </c>
      <c r="AI54" s="435"/>
      <c r="AJ54" s="435"/>
      <c r="AK54" s="690"/>
      <c r="AL54" s="691"/>
      <c r="AM54" s="692"/>
      <c r="AN54" s="693"/>
      <c r="AO54" s="685"/>
      <c r="AP54" s="692"/>
      <c r="AQ54" s="693"/>
      <c r="AR54" s="685"/>
      <c r="AS54" s="692"/>
      <c r="AT54" s="693"/>
      <c r="AU54" s="685"/>
      <c r="AV54" s="692"/>
      <c r="AW54" s="693"/>
      <c r="AX54" s="685"/>
      <c r="AY54" s="692"/>
      <c r="AZ54" s="693"/>
      <c r="BA54" s="685"/>
      <c r="BB54" s="692"/>
      <c r="BC54" s="693"/>
      <c r="BD54" s="685"/>
      <c r="BE54" s="692"/>
      <c r="BF54" s="693"/>
      <c r="BG54" s="685"/>
      <c r="BH54" s="692"/>
      <c r="BI54" s="693"/>
      <c r="BJ54" s="685"/>
      <c r="BK54" s="692"/>
      <c r="BL54" s="693"/>
      <c r="BM54" s="685"/>
      <c r="BN54" s="692"/>
      <c r="BO54" s="693"/>
      <c r="BP54" s="685"/>
      <c r="BQ54" s="692">
        <f t="shared" si="72"/>
        <v>2421317</v>
      </c>
      <c r="BR54" s="693">
        <f t="shared" si="73"/>
        <v>133087</v>
      </c>
      <c r="BS54" s="685">
        <f t="shared" ref="BS54:BS56" si="88">SUM(BQ54,BR54)</f>
        <v>2554404</v>
      </c>
      <c r="BT54" s="692">
        <f t="shared" si="75"/>
        <v>591427</v>
      </c>
      <c r="BU54" s="693">
        <f t="shared" si="76"/>
        <v>25668</v>
      </c>
      <c r="BV54" s="685">
        <f t="shared" ref="BV54:BV56" si="89">SUM(BT54,BU54)</f>
        <v>617095</v>
      </c>
      <c r="BW54" s="692">
        <f t="shared" si="78"/>
        <v>0</v>
      </c>
      <c r="BX54" s="693">
        <f t="shared" si="79"/>
        <v>0</v>
      </c>
      <c r="BY54" s="685">
        <f t="shared" ref="BY54:BY56" si="90">SUM(BW54,BX54)</f>
        <v>0</v>
      </c>
      <c r="BZ54" s="435"/>
    </row>
    <row r="55" spans="1:78">
      <c r="A55" s="698" t="str">
        <f>'HSZ do groszy'!A55</f>
        <v>Obligacje 2023</v>
      </c>
      <c r="B55" s="697" t="e">
        <f>ROUNDUP('HSZ do groszy'!B55,0)</f>
        <v>#VALUE!</v>
      </c>
      <c r="C55" s="684">
        <f>ROUNDUP('HSZ do groszy'!C55,0)</f>
        <v>0</v>
      </c>
      <c r="D55" s="685">
        <f>ROUNDUP('HSZ do groszy'!D55,0)</f>
        <v>0</v>
      </c>
      <c r="E55" s="856">
        <f t="shared" si="54"/>
        <v>3751207</v>
      </c>
      <c r="F55" s="686">
        <f t="shared" si="87"/>
        <v>162803</v>
      </c>
      <c r="G55" s="684">
        <f>ROUNDUP('HSZ do groszy'!G55,0)</f>
        <v>0</v>
      </c>
      <c r="H55" s="685">
        <f>ROUNDUP('HSZ do groszy'!H55,0)</f>
        <v>0</v>
      </c>
      <c r="I55" s="684">
        <f>ROUNDUP('HSZ do groszy'!I55,0)</f>
        <v>0</v>
      </c>
      <c r="J55" s="685">
        <f>ROUNDUP('HSZ do groszy'!J55,0)</f>
        <v>0</v>
      </c>
      <c r="K55" s="687">
        <f>ROUNDUP('HSZ do groszy'!K55,0)</f>
        <v>0</v>
      </c>
      <c r="L55" s="688">
        <f>ROUNDUP('HSZ do groszy'!L55,0)</f>
        <v>0</v>
      </c>
      <c r="M55" s="684">
        <f>ROUNDUP('HSZ do groszy'!M55,0)</f>
        <v>0</v>
      </c>
      <c r="N55" s="685">
        <f>ROUNDUP('HSZ do groszy'!N55,0)</f>
        <v>0</v>
      </c>
      <c r="O55" s="687">
        <f>ROUNDUP('HSZ do groszy'!O55,0)</f>
        <v>0</v>
      </c>
      <c r="P55" s="688">
        <f>ROUNDUP('HSZ do groszy'!P55,0)</f>
        <v>0</v>
      </c>
      <c r="Q55" s="684">
        <f>ROUNDUP('HSZ do groszy'!Q55,0)</f>
        <v>0</v>
      </c>
      <c r="R55" s="685">
        <f>ROUNDUP('HSZ do groszy'!R55,0)</f>
        <v>0</v>
      </c>
      <c r="S55" s="687">
        <f>ROUNDUP('HSZ do groszy'!S55,0)</f>
        <v>0</v>
      </c>
      <c r="T55" s="688">
        <f>ROUNDUP('HSZ do groszy'!T55,0)</f>
        <v>0</v>
      </c>
      <c r="U55" s="684">
        <f>ROUNDUP('HSZ do groszy'!U55,0)</f>
        <v>0</v>
      </c>
      <c r="V55" s="685">
        <f>ROUNDUP('HSZ do groszy'!V55,0)</f>
        <v>0</v>
      </c>
      <c r="W55" s="687">
        <f>ROUNDUP('HSZ do groszy'!W55,0)</f>
        <v>0</v>
      </c>
      <c r="X55" s="688">
        <f>ROUNDUP('HSZ do groszy'!X55,0)</f>
        <v>0</v>
      </c>
      <c r="Y55" s="684">
        <f>ROUNDUP('HSZ do groszy'!Y55,0)</f>
        <v>0</v>
      </c>
      <c r="Z55" s="685">
        <f>ROUNDUP('HSZ do groszy'!Z55,0)</f>
        <v>0</v>
      </c>
      <c r="AA55" s="687">
        <f>ROUNDUP('HSZ do groszy'!AA55,0)</f>
        <v>0</v>
      </c>
      <c r="AB55" s="688">
        <f>ROUNDUP('HSZ do groszy'!AB55,0)</f>
        <v>0</v>
      </c>
      <c r="AC55" s="684">
        <f>ROUNDUP('HSZ do groszy'!AC55,0)</f>
        <v>0</v>
      </c>
      <c r="AD55" s="685">
        <f>ROUNDUP('HSZ do groszy'!AD55,0)</f>
        <v>0</v>
      </c>
      <c r="AE55" s="687">
        <f>ROUNDUP('HSZ do groszy'!AE55,0)</f>
        <v>3751207</v>
      </c>
      <c r="AF55" s="685">
        <f>ROUNDUP('HSZ do groszy'!AF55,0)</f>
        <v>162803</v>
      </c>
      <c r="AG55" s="687">
        <f>ROUNDUP('HSZ do groszy'!AG55,0)</f>
        <v>0</v>
      </c>
      <c r="AH55" s="689">
        <f>ROUNDUP('HSZ do groszy'!AH55,0)</f>
        <v>0</v>
      </c>
      <c r="AI55" s="435"/>
      <c r="AJ55" s="435"/>
      <c r="AK55" s="690"/>
      <c r="AL55" s="691"/>
      <c r="AM55" s="692"/>
      <c r="AN55" s="693"/>
      <c r="AO55" s="685"/>
      <c r="AP55" s="692"/>
      <c r="AQ55" s="693"/>
      <c r="AR55" s="685"/>
      <c r="AS55" s="692"/>
      <c r="AT55" s="693"/>
      <c r="AU55" s="685"/>
      <c r="AV55" s="692"/>
      <c r="AW55" s="693"/>
      <c r="AX55" s="685"/>
      <c r="AY55" s="692"/>
      <c r="AZ55" s="693"/>
      <c r="BA55" s="685"/>
      <c r="BB55" s="692"/>
      <c r="BC55" s="693"/>
      <c r="BD55" s="685"/>
      <c r="BE55" s="692"/>
      <c r="BF55" s="693"/>
      <c r="BG55" s="685"/>
      <c r="BH55" s="692"/>
      <c r="BI55" s="693"/>
      <c r="BJ55" s="685"/>
      <c r="BK55" s="692"/>
      <c r="BL55" s="693"/>
      <c r="BM55" s="685"/>
      <c r="BN55" s="692"/>
      <c r="BO55" s="693"/>
      <c r="BP55" s="685"/>
      <c r="BQ55" s="692">
        <f t="shared" si="72"/>
        <v>3751207</v>
      </c>
      <c r="BR55" s="693">
        <f t="shared" si="73"/>
        <v>162803</v>
      </c>
      <c r="BS55" s="685">
        <f t="shared" si="88"/>
        <v>3914010</v>
      </c>
      <c r="BT55" s="692">
        <f t="shared" si="75"/>
        <v>3751207</v>
      </c>
      <c r="BU55" s="693">
        <f t="shared" si="76"/>
        <v>162803</v>
      </c>
      <c r="BV55" s="685">
        <f t="shared" si="89"/>
        <v>3914010</v>
      </c>
      <c r="BW55" s="692">
        <f t="shared" si="78"/>
        <v>0</v>
      </c>
      <c r="BX55" s="693">
        <f t="shared" si="79"/>
        <v>0</v>
      </c>
      <c r="BY55" s="685">
        <f t="shared" si="90"/>
        <v>0</v>
      </c>
      <c r="BZ55" s="435"/>
    </row>
    <row r="56" spans="1:78">
      <c r="A56" s="698" t="str">
        <f>'HSZ do groszy'!A56</f>
        <v>Obligacje inwestycje</v>
      </c>
      <c r="B56" s="697">
        <f>ROUNDUP('HSZ do groszy'!B56,0)</f>
        <v>0</v>
      </c>
      <c r="C56" s="684">
        <f>ROUNDUP('HSZ do groszy'!C56,0)</f>
        <v>0</v>
      </c>
      <c r="D56" s="685">
        <f>ROUNDUP('HSZ do groszy'!D56,0)</f>
        <v>0</v>
      </c>
      <c r="E56" s="856">
        <f t="shared" si="54"/>
        <v>0</v>
      </c>
      <c r="F56" s="686">
        <f t="shared" si="87"/>
        <v>0</v>
      </c>
      <c r="G56" s="684">
        <f>ROUNDUP('HSZ do groszy'!G56,0)</f>
        <v>0</v>
      </c>
      <c r="H56" s="685">
        <f>ROUNDUP('HSZ do groszy'!H56,0)</f>
        <v>0</v>
      </c>
      <c r="I56" s="684">
        <f>ROUNDUP('HSZ do groszy'!I56,0)</f>
        <v>0</v>
      </c>
      <c r="J56" s="685">
        <f>ROUNDUP('HSZ do groszy'!J56,0)</f>
        <v>0</v>
      </c>
      <c r="K56" s="687">
        <f>ROUNDUP('HSZ do groszy'!K56,0)</f>
        <v>0</v>
      </c>
      <c r="L56" s="688">
        <f>ROUNDUP('HSZ do groszy'!L56,0)</f>
        <v>0</v>
      </c>
      <c r="M56" s="684">
        <f>ROUNDUP('HSZ do groszy'!M56,0)</f>
        <v>0</v>
      </c>
      <c r="N56" s="685">
        <f>ROUNDUP('HSZ do groszy'!N56,0)</f>
        <v>0</v>
      </c>
      <c r="O56" s="687">
        <f>ROUNDUP('HSZ do groszy'!O56,0)</f>
        <v>0</v>
      </c>
      <c r="P56" s="688">
        <f>ROUNDUP('HSZ do groszy'!P56,0)</f>
        <v>0</v>
      </c>
      <c r="Q56" s="684">
        <f>ROUNDUP('HSZ do groszy'!Q56,0)</f>
        <v>0</v>
      </c>
      <c r="R56" s="685">
        <f>ROUNDUP('HSZ do groszy'!R56,0)</f>
        <v>0</v>
      </c>
      <c r="S56" s="687">
        <f>ROUNDUP('HSZ do groszy'!S56,0)</f>
        <v>0</v>
      </c>
      <c r="T56" s="688">
        <f>ROUNDUP('HSZ do groszy'!T56,0)</f>
        <v>0</v>
      </c>
      <c r="U56" s="684">
        <f>ROUNDUP('HSZ do groszy'!U56,0)</f>
        <v>0</v>
      </c>
      <c r="V56" s="685">
        <f>ROUNDUP('HSZ do groszy'!V56,0)</f>
        <v>0</v>
      </c>
      <c r="W56" s="687">
        <f>ROUNDUP('HSZ do groszy'!W56,0)</f>
        <v>0</v>
      </c>
      <c r="X56" s="688">
        <f>ROUNDUP('HSZ do groszy'!X56,0)</f>
        <v>0</v>
      </c>
      <c r="Y56" s="684">
        <f>ROUNDUP('HSZ do groszy'!Y56,0)</f>
        <v>0</v>
      </c>
      <c r="Z56" s="685">
        <f>ROUNDUP('HSZ do groszy'!Z56,0)</f>
        <v>0</v>
      </c>
      <c r="AA56" s="687">
        <f>ROUNDUP('HSZ do groszy'!AA56,0)</f>
        <v>0</v>
      </c>
      <c r="AB56" s="688">
        <f>ROUNDUP('HSZ do groszy'!AB56,0)</f>
        <v>0</v>
      </c>
      <c r="AC56" s="684">
        <f>ROUNDUP('HSZ do groszy'!AC56,0)</f>
        <v>0</v>
      </c>
      <c r="AD56" s="685">
        <f>ROUNDUP('HSZ do groszy'!AD56,0)</f>
        <v>0</v>
      </c>
      <c r="AE56" s="687">
        <f>ROUNDUP('HSZ do groszy'!AE56,0)</f>
        <v>0</v>
      </c>
      <c r="AF56" s="685">
        <f>ROUNDUP('HSZ do groszy'!AF56,0)</f>
        <v>0</v>
      </c>
      <c r="AG56" s="687">
        <f>ROUNDUP('HSZ do groszy'!AG56,0)</f>
        <v>0</v>
      </c>
      <c r="AH56" s="689">
        <f>ROUNDUP('HSZ do groszy'!AH56,0)</f>
        <v>0</v>
      </c>
      <c r="AI56" s="435"/>
      <c r="AJ56" s="435"/>
      <c r="AK56" s="690"/>
      <c r="AL56" s="691"/>
      <c r="AM56" s="692"/>
      <c r="AN56" s="693"/>
      <c r="AO56" s="685"/>
      <c r="AP56" s="692"/>
      <c r="AQ56" s="693"/>
      <c r="AR56" s="685"/>
      <c r="AS56" s="692"/>
      <c r="AT56" s="693"/>
      <c r="AU56" s="685"/>
      <c r="AV56" s="692"/>
      <c r="AW56" s="693"/>
      <c r="AX56" s="685"/>
      <c r="AY56" s="692"/>
      <c r="AZ56" s="693"/>
      <c r="BA56" s="685"/>
      <c r="BB56" s="692"/>
      <c r="BC56" s="693"/>
      <c r="BD56" s="685"/>
      <c r="BE56" s="692"/>
      <c r="BF56" s="693"/>
      <c r="BG56" s="685"/>
      <c r="BH56" s="692"/>
      <c r="BI56" s="693"/>
      <c r="BJ56" s="685"/>
      <c r="BK56" s="692"/>
      <c r="BL56" s="693"/>
      <c r="BM56" s="685"/>
      <c r="BN56" s="692"/>
      <c r="BO56" s="693"/>
      <c r="BP56" s="685"/>
      <c r="BQ56" s="692">
        <f t="shared" si="72"/>
        <v>0</v>
      </c>
      <c r="BR56" s="693">
        <f t="shared" si="73"/>
        <v>0</v>
      </c>
      <c r="BS56" s="685">
        <f t="shared" si="88"/>
        <v>0</v>
      </c>
      <c r="BT56" s="692">
        <f t="shared" si="75"/>
        <v>0</v>
      </c>
      <c r="BU56" s="693">
        <f t="shared" si="76"/>
        <v>0</v>
      </c>
      <c r="BV56" s="685">
        <f t="shared" si="89"/>
        <v>0</v>
      </c>
      <c r="BW56" s="692">
        <f t="shared" si="78"/>
        <v>0</v>
      </c>
      <c r="BX56" s="693">
        <f t="shared" si="79"/>
        <v>0</v>
      </c>
      <c r="BY56" s="685">
        <f t="shared" si="90"/>
        <v>0</v>
      </c>
      <c r="BZ56" s="435"/>
    </row>
    <row r="57" spans="1:78">
      <c r="A57" s="698"/>
      <c r="B57" s="697"/>
      <c r="C57" s="684"/>
      <c r="D57" s="688"/>
      <c r="E57" s="857"/>
      <c r="F57" s="856"/>
      <c r="G57" s="684"/>
      <c r="H57" s="685"/>
      <c r="I57" s="687"/>
      <c r="J57" s="685"/>
      <c r="K57" s="687"/>
      <c r="L57" s="685"/>
      <c r="M57" s="687"/>
      <c r="N57" s="685"/>
      <c r="O57" s="687"/>
      <c r="P57" s="685"/>
      <c r="Q57" s="687"/>
      <c r="R57" s="685"/>
      <c r="S57" s="687"/>
      <c r="T57" s="685"/>
      <c r="U57" s="687"/>
      <c r="V57" s="685"/>
      <c r="W57" s="687"/>
      <c r="X57" s="685"/>
      <c r="Y57" s="687"/>
      <c r="Z57" s="685"/>
      <c r="AA57" s="687"/>
      <c r="AB57" s="685"/>
      <c r="AC57" s="684"/>
      <c r="AD57" s="685"/>
      <c r="AE57" s="687"/>
      <c r="AF57" s="685"/>
      <c r="AG57" s="687"/>
      <c r="AH57" s="685"/>
      <c r="AI57" s="435"/>
      <c r="AJ57" s="435"/>
      <c r="AK57" s="690"/>
      <c r="AL57" s="691"/>
      <c r="AM57" s="692"/>
      <c r="AN57" s="693"/>
      <c r="AO57" s="685"/>
      <c r="AP57" s="692"/>
      <c r="AQ57" s="693"/>
      <c r="AR57" s="685"/>
      <c r="AS57" s="692"/>
      <c r="AT57" s="693"/>
      <c r="AU57" s="685"/>
      <c r="AV57" s="692"/>
      <c r="AW57" s="693"/>
      <c r="AX57" s="685"/>
      <c r="AY57" s="692"/>
      <c r="AZ57" s="693"/>
      <c r="BA57" s="685"/>
      <c r="BB57" s="692"/>
      <c r="BC57" s="693"/>
      <c r="BD57" s="685"/>
      <c r="BE57" s="692"/>
      <c r="BF57" s="693"/>
      <c r="BG57" s="685"/>
      <c r="BH57" s="692"/>
      <c r="BI57" s="693"/>
      <c r="BJ57" s="685"/>
      <c r="BK57" s="692"/>
      <c r="BL57" s="693"/>
      <c r="BM57" s="685"/>
      <c r="BN57" s="692"/>
      <c r="BO57" s="693"/>
      <c r="BP57" s="685"/>
      <c r="BQ57" s="692"/>
      <c r="BR57" s="693"/>
      <c r="BS57" s="685"/>
      <c r="BT57" s="692"/>
      <c r="BU57" s="693"/>
      <c r="BV57" s="685"/>
      <c r="BW57" s="692"/>
      <c r="BX57" s="693"/>
      <c r="BY57" s="685"/>
      <c r="BZ57" s="435"/>
    </row>
    <row r="58" spans="1:78" s="834" customFormat="1">
      <c r="A58" s="843" t="s">
        <v>366</v>
      </c>
      <c r="B58" s="844"/>
      <c r="C58" s="845"/>
      <c r="D58" s="849"/>
      <c r="E58" s="859"/>
      <c r="F58" s="858"/>
      <c r="G58" s="845">
        <f>SUM(G43:G56)</f>
        <v>0</v>
      </c>
      <c r="H58" s="846">
        <f t="shared" ref="H58" si="91">SUM(H43:H56)</f>
        <v>0</v>
      </c>
      <c r="I58" s="848">
        <f>SUM(I45:I56)</f>
        <v>0</v>
      </c>
      <c r="J58" s="848">
        <f t="shared" ref="J58:AH58" si="92">SUM(J45:J56)</f>
        <v>0</v>
      </c>
      <c r="K58" s="848">
        <f t="shared" si="92"/>
        <v>0</v>
      </c>
      <c r="L58" s="848">
        <f t="shared" si="92"/>
        <v>318739</v>
      </c>
      <c r="M58" s="848">
        <f t="shared" si="92"/>
        <v>0</v>
      </c>
      <c r="N58" s="848">
        <f t="shared" si="92"/>
        <v>409022</v>
      </c>
      <c r="O58" s="848">
        <f t="shared" si="92"/>
        <v>0</v>
      </c>
      <c r="P58" s="848">
        <f t="shared" si="92"/>
        <v>409022</v>
      </c>
      <c r="Q58" s="848">
        <f t="shared" si="92"/>
        <v>0</v>
      </c>
      <c r="R58" s="848">
        <f t="shared" si="92"/>
        <v>485665</v>
      </c>
      <c r="S58" s="848">
        <f t="shared" si="92"/>
        <v>0</v>
      </c>
      <c r="T58" s="848">
        <f t="shared" si="92"/>
        <v>560920</v>
      </c>
      <c r="U58" s="848">
        <f t="shared" si="92"/>
        <v>0</v>
      </c>
      <c r="V58" s="848">
        <f t="shared" si="92"/>
        <v>633760</v>
      </c>
      <c r="W58" s="848">
        <f t="shared" si="92"/>
        <v>3000000</v>
      </c>
      <c r="X58" s="848">
        <f t="shared" si="92"/>
        <v>713853</v>
      </c>
      <c r="Y58" s="848">
        <f t="shared" si="92"/>
        <v>6000000</v>
      </c>
      <c r="Z58" s="848">
        <f t="shared" si="92"/>
        <v>1833592</v>
      </c>
      <c r="AA58" s="848">
        <f t="shared" si="92"/>
        <v>6000000</v>
      </c>
      <c r="AB58" s="848">
        <f t="shared" si="92"/>
        <v>1661112</v>
      </c>
      <c r="AC58" s="848">
        <f t="shared" si="92"/>
        <v>6000000</v>
      </c>
      <c r="AD58" s="848">
        <f t="shared" si="92"/>
        <v>288404</v>
      </c>
      <c r="AE58" s="848">
        <f t="shared" si="92"/>
        <v>4342634</v>
      </c>
      <c r="AF58" s="848">
        <f t="shared" si="92"/>
        <v>188471</v>
      </c>
      <c r="AG58" s="848">
        <f t="shared" si="92"/>
        <v>0</v>
      </c>
      <c r="AH58" s="848">
        <f t="shared" si="92"/>
        <v>0</v>
      </c>
      <c r="AI58" s="851"/>
      <c r="AJ58" s="851"/>
      <c r="AK58" s="852"/>
      <c r="AL58" s="853"/>
      <c r="AM58" s="854"/>
      <c r="AN58" s="855"/>
      <c r="AO58" s="846"/>
      <c r="AP58" s="854"/>
      <c r="AQ58" s="855"/>
      <c r="AR58" s="846"/>
      <c r="AS58" s="854"/>
      <c r="AT58" s="855"/>
      <c r="AU58" s="846"/>
      <c r="AV58" s="854"/>
      <c r="AW58" s="855"/>
      <c r="AX58" s="846"/>
      <c r="AY58" s="854"/>
      <c r="AZ58" s="855"/>
      <c r="BA58" s="846"/>
      <c r="BB58" s="854"/>
      <c r="BC58" s="855"/>
      <c r="BD58" s="846"/>
      <c r="BE58" s="854"/>
      <c r="BF58" s="855"/>
      <c r="BG58" s="846"/>
      <c r="BH58" s="854"/>
      <c r="BI58" s="855"/>
      <c r="BJ58" s="846"/>
      <c r="BK58" s="854"/>
      <c r="BL58" s="855"/>
      <c r="BM58" s="846"/>
      <c r="BN58" s="854"/>
      <c r="BO58" s="855"/>
      <c r="BP58" s="846"/>
      <c r="BQ58" s="854"/>
      <c r="BR58" s="855"/>
      <c r="BS58" s="846"/>
      <c r="BT58" s="854"/>
      <c r="BU58" s="855"/>
      <c r="BV58" s="846"/>
      <c r="BW58" s="854"/>
      <c r="BX58" s="855"/>
      <c r="BY58" s="846"/>
      <c r="BZ58" s="851"/>
    </row>
    <row r="59" spans="1:78">
      <c r="A59" s="698"/>
      <c r="B59" s="697"/>
      <c r="C59" s="684"/>
      <c r="D59" s="688"/>
      <c r="E59" s="857"/>
      <c r="F59" s="856"/>
      <c r="G59" s="684"/>
      <c r="H59" s="685"/>
      <c r="I59" s="687"/>
      <c r="J59" s="685"/>
      <c r="K59" s="687"/>
      <c r="L59" s="685"/>
      <c r="M59" s="687"/>
      <c r="N59" s="685"/>
      <c r="O59" s="687"/>
      <c r="P59" s="685"/>
      <c r="Q59" s="687"/>
      <c r="R59" s="685"/>
      <c r="S59" s="687"/>
      <c r="T59" s="685"/>
      <c r="U59" s="687"/>
      <c r="V59" s="685"/>
      <c r="W59" s="687"/>
      <c r="X59" s="685"/>
      <c r="Y59" s="687"/>
      <c r="Z59" s="685"/>
      <c r="AA59" s="687"/>
      <c r="AB59" s="685"/>
      <c r="AC59" s="684"/>
      <c r="AD59" s="685"/>
      <c r="AE59" s="687"/>
      <c r="AF59" s="685"/>
      <c r="AG59" s="687"/>
      <c r="AH59" s="685"/>
      <c r="AI59" s="435"/>
      <c r="AJ59" s="435"/>
      <c r="AK59" s="690"/>
      <c r="AL59" s="691"/>
      <c r="AM59" s="692"/>
      <c r="AN59" s="693"/>
      <c r="AO59" s="685"/>
      <c r="AP59" s="692"/>
      <c r="AQ59" s="693"/>
      <c r="AR59" s="685"/>
      <c r="AS59" s="692"/>
      <c r="AT59" s="693"/>
      <c r="AU59" s="685"/>
      <c r="AV59" s="692"/>
      <c r="AW59" s="693"/>
      <c r="AX59" s="685"/>
      <c r="AY59" s="692"/>
      <c r="AZ59" s="693"/>
      <c r="BA59" s="685"/>
      <c r="BB59" s="692"/>
      <c r="BC59" s="693"/>
      <c r="BD59" s="685"/>
      <c r="BE59" s="692"/>
      <c r="BF59" s="693"/>
      <c r="BG59" s="685"/>
      <c r="BH59" s="692"/>
      <c r="BI59" s="693"/>
      <c r="BJ59" s="685"/>
      <c r="BK59" s="692"/>
      <c r="BL59" s="693"/>
      <c r="BM59" s="685"/>
      <c r="BN59" s="692"/>
      <c r="BO59" s="693"/>
      <c r="BP59" s="685"/>
      <c r="BQ59" s="692"/>
      <c r="BR59" s="693"/>
      <c r="BS59" s="685"/>
      <c r="BT59" s="692"/>
      <c r="BU59" s="693"/>
      <c r="BV59" s="685"/>
      <c r="BW59" s="692"/>
      <c r="BX59" s="693"/>
      <c r="BY59" s="685"/>
      <c r="BZ59" s="435"/>
    </row>
    <row r="60" spans="1:78" ht="13.5" thickBot="1">
      <c r="A60" s="699" t="s">
        <v>326</v>
      </c>
      <c r="B60" s="700">
        <f>SUM(B35:B37)</f>
        <v>23750000</v>
      </c>
      <c r="C60" s="701">
        <f t="shared" ref="C60:F60" si="93">SUM(C35:C53)</f>
        <v>3550000</v>
      </c>
      <c r="D60" s="702">
        <f t="shared" si="93"/>
        <v>1724436</v>
      </c>
      <c r="E60" s="701">
        <f t="shared" si="93"/>
        <v>69370110</v>
      </c>
      <c r="F60" s="702">
        <f t="shared" si="93"/>
        <v>19178473</v>
      </c>
      <c r="G60" s="701">
        <f>G41+G43+G58</f>
        <v>6300000</v>
      </c>
      <c r="H60" s="702">
        <f t="shared" ref="H60:AH60" si="94">H41+H43+H58</f>
        <v>2096896</v>
      </c>
      <c r="I60" s="701">
        <f t="shared" si="94"/>
        <v>5500000</v>
      </c>
      <c r="J60" s="702">
        <f t="shared" si="94"/>
        <v>2289260</v>
      </c>
      <c r="K60" s="701">
        <f t="shared" si="94"/>
        <v>5500000</v>
      </c>
      <c r="L60" s="702">
        <f t="shared" si="94"/>
        <v>2320818</v>
      </c>
      <c r="M60" s="630">
        <f t="shared" si="94"/>
        <v>5900000</v>
      </c>
      <c r="N60" s="632">
        <f t="shared" si="94"/>
        <v>2098043</v>
      </c>
      <c r="O60" s="701">
        <f t="shared" si="94"/>
        <v>6000000</v>
      </c>
      <c r="P60" s="702">
        <f t="shared" si="94"/>
        <v>1790383</v>
      </c>
      <c r="Q60" s="701">
        <f t="shared" si="94"/>
        <v>6000000</v>
      </c>
      <c r="R60" s="702">
        <f t="shared" si="94"/>
        <v>1609077</v>
      </c>
      <c r="S60" s="701">
        <f t="shared" si="94"/>
        <v>6000000</v>
      </c>
      <c r="T60" s="702">
        <f t="shared" si="94"/>
        <v>1328318</v>
      </c>
      <c r="U60" s="701">
        <f t="shared" si="94"/>
        <v>6000000</v>
      </c>
      <c r="V60" s="702">
        <f t="shared" si="94"/>
        <v>1102703</v>
      </c>
      <c r="W60" s="701">
        <f t="shared" si="94"/>
        <v>6000000</v>
      </c>
      <c r="X60" s="702">
        <f t="shared" si="94"/>
        <v>867286</v>
      </c>
      <c r="Y60" s="701">
        <f t="shared" si="94"/>
        <v>6000000</v>
      </c>
      <c r="Z60" s="702">
        <f t="shared" si="94"/>
        <v>1833592</v>
      </c>
      <c r="AA60" s="701">
        <f t="shared" si="94"/>
        <v>6000000</v>
      </c>
      <c r="AB60" s="702">
        <f t="shared" si="94"/>
        <v>1661112</v>
      </c>
      <c r="AC60" s="630">
        <f t="shared" si="94"/>
        <v>6000000</v>
      </c>
      <c r="AD60" s="632">
        <f t="shared" si="94"/>
        <v>288404</v>
      </c>
      <c r="AE60" s="701">
        <f t="shared" si="94"/>
        <v>4342634</v>
      </c>
      <c r="AF60" s="632">
        <f t="shared" si="94"/>
        <v>188471</v>
      </c>
      <c r="AG60" s="701">
        <f t="shared" si="94"/>
        <v>0</v>
      </c>
      <c r="AH60" s="703">
        <f t="shared" si="94"/>
        <v>0</v>
      </c>
      <c r="AI60" s="435"/>
      <c r="AJ60" s="435"/>
      <c r="AK60" s="628"/>
      <c r="AL60" s="657">
        <f>SUM(AL35:AL37)</f>
        <v>23750000</v>
      </c>
      <c r="AM60" s="630">
        <f>SUM(AM35:AM56)</f>
        <v>43900000</v>
      </c>
      <c r="AN60" s="631">
        <f t="shared" ref="AN60:BY60" si="95">SUM(AN35:AN56)</f>
        <v>9874907</v>
      </c>
      <c r="AO60" s="658">
        <f t="shared" si="95"/>
        <v>53774907</v>
      </c>
      <c r="AP60" s="630">
        <f t="shared" si="95"/>
        <v>45132194</v>
      </c>
      <c r="AQ60" s="631">
        <f t="shared" si="95"/>
        <v>9966962</v>
      </c>
      <c r="AR60" s="658">
        <f t="shared" si="95"/>
        <v>55099156</v>
      </c>
      <c r="AS60" s="630">
        <f t="shared" si="95"/>
        <v>41539080</v>
      </c>
      <c r="AT60" s="631">
        <f t="shared" si="95"/>
        <v>8270601</v>
      </c>
      <c r="AU60" s="658">
        <f t="shared" si="95"/>
        <v>49809681</v>
      </c>
      <c r="AV60" s="630">
        <f t="shared" si="95"/>
        <v>35639080</v>
      </c>
      <c r="AW60" s="631">
        <f t="shared" si="95"/>
        <v>6172558</v>
      </c>
      <c r="AX60" s="658">
        <f t="shared" si="95"/>
        <v>41811638</v>
      </c>
      <c r="AY60" s="630">
        <f t="shared" si="95"/>
        <v>31257865</v>
      </c>
      <c r="AZ60" s="631">
        <f t="shared" si="95"/>
        <v>7204477</v>
      </c>
      <c r="BA60" s="658">
        <f t="shared" si="95"/>
        <v>38462342</v>
      </c>
      <c r="BB60" s="630">
        <f t="shared" si="95"/>
        <v>26847338</v>
      </c>
      <c r="BC60" s="631">
        <f t="shared" si="95"/>
        <v>5965404</v>
      </c>
      <c r="BD60" s="658">
        <f t="shared" si="95"/>
        <v>32812742</v>
      </c>
      <c r="BE60" s="630">
        <f t="shared" si="95"/>
        <v>22385816</v>
      </c>
      <c r="BF60" s="631">
        <f t="shared" si="95"/>
        <v>4922376</v>
      </c>
      <c r="BG60" s="658">
        <f t="shared" si="95"/>
        <v>27308192</v>
      </c>
      <c r="BH60" s="630">
        <f t="shared" si="95"/>
        <v>18327476</v>
      </c>
      <c r="BI60" s="631">
        <f t="shared" si="95"/>
        <v>4103305</v>
      </c>
      <c r="BJ60" s="658">
        <f t="shared" si="95"/>
        <v>22430781</v>
      </c>
      <c r="BK60" s="630">
        <f t="shared" si="95"/>
        <v>14248793</v>
      </c>
      <c r="BL60" s="631">
        <f t="shared" si="95"/>
        <v>3501337</v>
      </c>
      <c r="BM60" s="658">
        <f t="shared" si="95"/>
        <v>17750130</v>
      </c>
      <c r="BN60" s="630">
        <f t="shared" si="95"/>
        <v>10170110</v>
      </c>
      <c r="BO60" s="631">
        <f t="shared" si="95"/>
        <v>1842097</v>
      </c>
      <c r="BP60" s="658">
        <f t="shared" si="95"/>
        <v>12012207</v>
      </c>
      <c r="BQ60" s="630">
        <f t="shared" si="95"/>
        <v>10342634</v>
      </c>
      <c r="BR60" s="631">
        <f t="shared" si="95"/>
        <v>476875</v>
      </c>
      <c r="BS60" s="658">
        <f t="shared" si="95"/>
        <v>10819509</v>
      </c>
      <c r="BT60" s="630">
        <f t="shared" si="95"/>
        <v>4342634</v>
      </c>
      <c r="BU60" s="631">
        <f t="shared" si="95"/>
        <v>188471</v>
      </c>
      <c r="BV60" s="658">
        <f t="shared" si="95"/>
        <v>4531105</v>
      </c>
      <c r="BW60" s="630">
        <f t="shared" si="95"/>
        <v>0</v>
      </c>
      <c r="BX60" s="631">
        <f t="shared" si="95"/>
        <v>0</v>
      </c>
      <c r="BY60" s="658">
        <f t="shared" si="95"/>
        <v>0</v>
      </c>
      <c r="BZ60" s="435"/>
    </row>
    <row r="61" spans="1:78" ht="14.25" thickBot="1">
      <c r="A61" s="704"/>
      <c r="B61" s="705" t="s">
        <v>303</v>
      </c>
      <c r="C61" s="1528">
        <f>SUM(C60,D60)</f>
        <v>5274436</v>
      </c>
      <c r="D61" s="1529"/>
      <c r="E61" s="1528">
        <f>SUM(E60,F60)</f>
        <v>88548583</v>
      </c>
      <c r="F61" s="1529"/>
      <c r="G61" s="1528">
        <f>SUM(G60,H60)</f>
        <v>8396896</v>
      </c>
      <c r="H61" s="1529"/>
      <c r="I61" s="1528">
        <f>SUM(I60,J60)</f>
        <v>7789260</v>
      </c>
      <c r="J61" s="1529"/>
      <c r="K61" s="1526">
        <f>SUM(K60,L60)</f>
        <v>7820818</v>
      </c>
      <c r="L61" s="1527"/>
      <c r="M61" s="1528">
        <f>SUM(M60,N60)</f>
        <v>7998043</v>
      </c>
      <c r="N61" s="1529"/>
      <c r="O61" s="1526">
        <f>SUM(O60,P60)</f>
        <v>7790383</v>
      </c>
      <c r="P61" s="1527"/>
      <c r="Q61" s="1528">
        <f>SUM(Q60,R60)</f>
        <v>7609077</v>
      </c>
      <c r="R61" s="1529"/>
      <c r="S61" s="1526">
        <f>SUM(S60,T60)</f>
        <v>7328318</v>
      </c>
      <c r="T61" s="1527"/>
      <c r="U61" s="1528">
        <f>SUM(U60,V60)</f>
        <v>7102703</v>
      </c>
      <c r="V61" s="1529"/>
      <c r="W61" s="1526">
        <f>SUM(W60,X60)</f>
        <v>6867286</v>
      </c>
      <c r="X61" s="1527"/>
      <c r="Y61" s="1528">
        <f>SUM(Y60,Z60)</f>
        <v>7833592</v>
      </c>
      <c r="Z61" s="1529"/>
      <c r="AA61" s="1526">
        <f>SUM(AA60,AB60)</f>
        <v>7661112</v>
      </c>
      <c r="AB61" s="1527"/>
      <c r="AC61" s="1528">
        <f>SUM(AC60,AD60)</f>
        <v>6288404</v>
      </c>
      <c r="AD61" s="1529"/>
      <c r="AE61" s="1526">
        <f>SUM(AE60,AF60)</f>
        <v>4531105</v>
      </c>
      <c r="AF61" s="1529"/>
      <c r="AG61" s="1526">
        <f>SUM(AG60,AH60)</f>
        <v>0</v>
      </c>
      <c r="AH61" s="1537"/>
      <c r="AI61" s="435"/>
      <c r="AJ61" s="435"/>
      <c r="AK61" s="706"/>
      <c r="AL61" s="706"/>
      <c r="AM61" s="1505"/>
      <c r="AN61" s="1506"/>
      <c r="AO61" s="1507"/>
      <c r="AP61" s="1505"/>
      <c r="AQ61" s="1506"/>
      <c r="AR61" s="1507"/>
      <c r="AS61" s="1505"/>
      <c r="AT61" s="1506"/>
      <c r="AU61" s="1507"/>
      <c r="AV61" s="1505"/>
      <c r="AW61" s="1506"/>
      <c r="AX61" s="1507"/>
      <c r="AY61" s="1505"/>
      <c r="AZ61" s="1506"/>
      <c r="BA61" s="1507"/>
      <c r="BB61" s="1505"/>
      <c r="BC61" s="1506"/>
      <c r="BD61" s="1507"/>
      <c r="BE61" s="1505"/>
      <c r="BF61" s="1506"/>
      <c r="BG61" s="1507"/>
      <c r="BH61" s="1505"/>
      <c r="BI61" s="1506"/>
      <c r="BJ61" s="1507"/>
      <c r="BK61" s="1505"/>
      <c r="BL61" s="1506"/>
      <c r="BM61" s="1507"/>
      <c r="BN61" s="1505"/>
      <c r="BO61" s="1506"/>
      <c r="BP61" s="1507"/>
      <c r="BQ61" s="1505"/>
      <c r="BR61" s="1506"/>
      <c r="BS61" s="1507"/>
      <c r="BT61" s="1505"/>
      <c r="BU61" s="1506"/>
      <c r="BV61" s="1507"/>
      <c r="BW61" s="1505"/>
      <c r="BX61" s="1506"/>
      <c r="BY61" s="1507"/>
      <c r="BZ61" s="435"/>
    </row>
    <row r="62" spans="1:78" ht="13.5" thickBot="1">
      <c r="A62" s="1531" t="s">
        <v>327</v>
      </c>
      <c r="B62" s="1532"/>
      <c r="C62" s="707">
        <f>SUM(C11,C30,C60)</f>
        <v>4220898</v>
      </c>
      <c r="D62" s="708">
        <f>SUM(D11,D30,D60)</f>
        <v>1839251</v>
      </c>
      <c r="E62" s="707">
        <f>SUM(E11,E30,E60)</f>
        <v>78490748</v>
      </c>
      <c r="F62" s="708">
        <f>SUM(F11,F30,F60)</f>
        <v>22001556</v>
      </c>
      <c r="G62" s="707">
        <f>SUM(G11,G30,G60)</f>
        <v>6998867</v>
      </c>
      <c r="H62" s="708">
        <f t="shared" ref="H62:AH62" si="96">SUM(H11,H30,H60)</f>
        <v>2173467</v>
      </c>
      <c r="I62" s="707">
        <f t="shared" si="96"/>
        <v>6160865</v>
      </c>
      <c r="J62" s="708">
        <f t="shared" si="96"/>
        <v>2346837</v>
      </c>
      <c r="K62" s="709">
        <f t="shared" si="96"/>
        <v>6329928</v>
      </c>
      <c r="L62" s="708">
        <f t="shared" si="96"/>
        <v>2535407</v>
      </c>
      <c r="M62" s="707">
        <f t="shared" si="96"/>
        <v>6912100</v>
      </c>
      <c r="N62" s="708">
        <f t="shared" si="96"/>
        <v>2538317</v>
      </c>
      <c r="O62" s="709">
        <f t="shared" si="96"/>
        <v>6818549</v>
      </c>
      <c r="P62" s="708">
        <f t="shared" si="96"/>
        <v>2218131</v>
      </c>
      <c r="Q62" s="707">
        <f t="shared" si="96"/>
        <v>6789237</v>
      </c>
      <c r="R62" s="708">
        <f t="shared" si="96"/>
        <v>1983144</v>
      </c>
      <c r="S62" s="709">
        <f t="shared" si="96"/>
        <v>6738242</v>
      </c>
      <c r="T62" s="708">
        <f t="shared" si="96"/>
        <v>1649857</v>
      </c>
      <c r="U62" s="707">
        <f t="shared" si="96"/>
        <v>6641424</v>
      </c>
      <c r="V62" s="708">
        <f t="shared" si="96"/>
        <v>1373905</v>
      </c>
      <c r="W62" s="709">
        <f t="shared" si="96"/>
        <v>6621081</v>
      </c>
      <c r="X62" s="708">
        <f t="shared" si="96"/>
        <v>1090330</v>
      </c>
      <c r="Y62" s="707">
        <f t="shared" si="96"/>
        <v>6621081</v>
      </c>
      <c r="Z62" s="708">
        <f t="shared" si="96"/>
        <v>2008531</v>
      </c>
      <c r="AA62" s="709">
        <f t="shared" si="96"/>
        <v>6621081</v>
      </c>
      <c r="AB62" s="708">
        <f t="shared" si="96"/>
        <v>1787946</v>
      </c>
      <c r="AC62" s="707">
        <f t="shared" si="96"/>
        <v>6621081</v>
      </c>
      <c r="AD62" s="708">
        <f t="shared" si="96"/>
        <v>367132</v>
      </c>
      <c r="AE62" s="709">
        <f t="shared" si="96"/>
        <v>4735183</v>
      </c>
      <c r="AF62" s="708">
        <f t="shared" si="96"/>
        <v>220568</v>
      </c>
      <c r="AG62" s="709">
        <f t="shared" si="96"/>
        <v>54553</v>
      </c>
      <c r="AH62" s="710">
        <f t="shared" si="96"/>
        <v>3874</v>
      </c>
      <c r="AI62" s="435"/>
      <c r="AJ62" s="435"/>
      <c r="AK62" s="1533" t="s">
        <v>328</v>
      </c>
      <c r="AL62" s="1534"/>
      <c r="AM62" s="711">
        <f>SUM(AM11,AM30,AM60)</f>
        <v>46110961</v>
      </c>
      <c r="AN62" s="712">
        <f>SUM(AN11,AN30,AN60)</f>
        <v>10015691</v>
      </c>
      <c r="AO62" s="713">
        <f>SUM(AM62,AN62)</f>
        <v>56126652</v>
      </c>
      <c r="AP62" s="711">
        <f>SUM(AP11,AP30,AP60)</f>
        <v>48967610</v>
      </c>
      <c r="AQ62" s="712">
        <f>SUM(AQ11,AQ30,AQ60)</f>
        <v>11008969</v>
      </c>
      <c r="AR62" s="713">
        <f>SUM(AP62,AQ62)</f>
        <v>59976579</v>
      </c>
      <c r="AS62" s="711">
        <f>SUM(AS11,AS30,AS60)</f>
        <v>47924528</v>
      </c>
      <c r="AT62" s="712">
        <f>SUM(AT60,AT30,AT11)</f>
        <v>10516070</v>
      </c>
      <c r="AU62" s="713">
        <f>SUM(AS62,AT62)</f>
        <v>58440598</v>
      </c>
      <c r="AV62" s="711">
        <f>SUM(AV11,AV30,AV60)</f>
        <v>41557958</v>
      </c>
      <c r="AW62" s="712">
        <f>SUM(AW11,AW30,AW60)</f>
        <v>8206630</v>
      </c>
      <c r="AX62" s="713">
        <f>SUM(AV62,AW62)</f>
        <v>49764588</v>
      </c>
      <c r="AY62" s="711">
        <f>SUM(AY11,AY30,AY60)</f>
        <v>36358194</v>
      </c>
      <c r="AZ62" s="712">
        <f>SUM(AZ11,AZ30,AZ60)</f>
        <v>8810801</v>
      </c>
      <c r="BA62" s="713">
        <f>SUM(AY62,AZ62)</f>
        <v>45168995</v>
      </c>
      <c r="BB62" s="711">
        <f>SUM(BB11,BB30,BB60)</f>
        <v>31158430</v>
      </c>
      <c r="BC62" s="712">
        <f>SUM(BC11,BC30,BC60)</f>
        <v>7197661</v>
      </c>
      <c r="BD62" s="713">
        <f>SUM(BB62,BC62)</f>
        <v>38356091</v>
      </c>
      <c r="BE62" s="711">
        <f>SUM(BE11,BE30,BE60)</f>
        <v>25958666</v>
      </c>
      <c r="BF62" s="712">
        <f>SUM(BF11,BF30,BF60)</f>
        <v>5833094</v>
      </c>
      <c r="BG62" s="713">
        <f>SUM(BE62,BF62)</f>
        <v>31791760</v>
      </c>
      <c r="BH62" s="711">
        <f>SUM(BH11,BH30,BH60)</f>
        <v>21258902</v>
      </c>
      <c r="BI62" s="712">
        <f>SUM(BI11,BI30,BI60)</f>
        <v>4742821</v>
      </c>
      <c r="BJ62" s="713">
        <f>SUM(BH62,BI62)</f>
        <v>26001723</v>
      </c>
      <c r="BK62" s="711">
        <f>SUM(BK11,BK30,BK60)</f>
        <v>16559138</v>
      </c>
      <c r="BL62" s="712">
        <f>SUM(BL11,BL30,BL60)</f>
        <v>3917809</v>
      </c>
      <c r="BM62" s="713">
        <f>SUM(BK62,BL62)</f>
        <v>20476947</v>
      </c>
      <c r="BN62" s="711">
        <f>SUM(BN11,BN30,BN60)</f>
        <v>11859374</v>
      </c>
      <c r="BO62" s="712">
        <f>SUM(BO11,BO30,BO60)</f>
        <v>2083630</v>
      </c>
      <c r="BP62" s="713">
        <f>SUM(BN62,BO62)</f>
        <v>13943004</v>
      </c>
      <c r="BQ62" s="711">
        <f>SUM(BQ11,BQ30,BQ60)</f>
        <v>11410817</v>
      </c>
      <c r="BR62" s="712">
        <f>SUM(BR11,BR30,BR60)</f>
        <v>591574</v>
      </c>
      <c r="BS62" s="713">
        <f>SUM(BQ62,BR62)</f>
        <v>12002391</v>
      </c>
      <c r="BT62" s="711">
        <f>SUM(BT11,BT30,BT60)</f>
        <v>4789736</v>
      </c>
      <c r="BU62" s="712">
        <f>SUM(BU11,BU30,BU60)</f>
        <v>224442</v>
      </c>
      <c r="BV62" s="713">
        <f>SUM(BT62,BU62)</f>
        <v>5014178</v>
      </c>
      <c r="BW62" s="711">
        <f>SUM(BW11,BW30,BW60)</f>
        <v>54553</v>
      </c>
      <c r="BX62" s="712">
        <f>SUM(BX11,BX30,BX60)</f>
        <v>3874</v>
      </c>
      <c r="BY62" s="713">
        <f>SUM(BW62,BX62)</f>
        <v>58427</v>
      </c>
      <c r="BZ62" s="435"/>
    </row>
    <row r="63" spans="1:78" s="730" customFormat="1" ht="27.75" customHeight="1" thickBot="1">
      <c r="A63" s="1535" t="s">
        <v>329</v>
      </c>
      <c r="B63" s="1536"/>
      <c r="C63" s="714"/>
      <c r="D63" s="715">
        <f>SUM(C62,D62)</f>
        <v>6060149</v>
      </c>
      <c r="E63" s="716"/>
      <c r="F63" s="715">
        <f>SUM(E62,F62)</f>
        <v>100492304</v>
      </c>
      <c r="G63" s="717"/>
      <c r="H63" s="715">
        <f>SUM(G62,H62)</f>
        <v>9172334</v>
      </c>
      <c r="I63" s="717"/>
      <c r="J63" s="715">
        <f>SUM(I62,J62)</f>
        <v>8507702</v>
      </c>
      <c r="K63" s="718"/>
      <c r="L63" s="719">
        <f>SUM(K62,L62)</f>
        <v>8865335</v>
      </c>
      <c r="M63" s="717"/>
      <c r="N63" s="715">
        <f>SUM(M62,N62)</f>
        <v>9450417</v>
      </c>
      <c r="O63" s="718"/>
      <c r="P63" s="719">
        <f>SUM(O62,P62)</f>
        <v>9036680</v>
      </c>
      <c r="Q63" s="717"/>
      <c r="R63" s="715">
        <f>SUM(Q62,R62)</f>
        <v>8772381</v>
      </c>
      <c r="S63" s="718"/>
      <c r="T63" s="719">
        <f>SUM(S62,T62)</f>
        <v>8388099</v>
      </c>
      <c r="U63" s="717"/>
      <c r="V63" s="715">
        <f>SUM(U62,V62)</f>
        <v>8015329</v>
      </c>
      <c r="W63" s="718"/>
      <c r="X63" s="719">
        <f>SUM(W62,X62)</f>
        <v>7711411</v>
      </c>
      <c r="Y63" s="716"/>
      <c r="Z63" s="715">
        <f>SUM(Y62,Z62)</f>
        <v>8629612</v>
      </c>
      <c r="AA63" s="720"/>
      <c r="AB63" s="719">
        <f>SUM(AA62,AB62)</f>
        <v>8409027</v>
      </c>
      <c r="AC63" s="716"/>
      <c r="AD63" s="715">
        <f>SUM(AC62,AD62)</f>
        <v>6988213</v>
      </c>
      <c r="AE63" s="720"/>
      <c r="AF63" s="715">
        <f>SUM(AE62,AF62)</f>
        <v>4955751</v>
      </c>
      <c r="AG63" s="720"/>
      <c r="AH63" s="721">
        <f>SUM(AG62,AH62)</f>
        <v>58427</v>
      </c>
      <c r="AI63" s="722"/>
      <c r="AJ63" s="722"/>
      <c r="AK63" s="723"/>
      <c r="AL63" s="723"/>
      <c r="AM63" s="724"/>
      <c r="AN63" s="724"/>
      <c r="AO63" s="725">
        <f>SUM(AO11,AO30,AO60)</f>
        <v>56126652</v>
      </c>
      <c r="AP63" s="726"/>
      <c r="AQ63" s="726"/>
      <c r="AR63" s="725">
        <f>SUM(AR11,AR30,AR60)</f>
        <v>55846447</v>
      </c>
      <c r="AS63" s="726"/>
      <c r="AT63" s="726"/>
      <c r="AU63" s="725">
        <f>SUM(AU11,AU30,AU60)</f>
        <v>58440598</v>
      </c>
      <c r="AV63" s="726"/>
      <c r="AW63" s="726"/>
      <c r="AX63" s="725">
        <f>SUM(AX11,AX30,AX60)</f>
        <v>49764588</v>
      </c>
      <c r="AY63" s="726"/>
      <c r="AZ63" s="726"/>
      <c r="BA63" s="725">
        <f>SUM(BA11,BA30,BA60)</f>
        <v>45168995</v>
      </c>
      <c r="BB63" s="727"/>
      <c r="BC63" s="726"/>
      <c r="BD63" s="725">
        <f>SUM(BD11,BD30,BD60)</f>
        <v>38356091</v>
      </c>
      <c r="BE63" s="728"/>
      <c r="BF63" s="728"/>
      <c r="BG63" s="729">
        <f>SUM(BG11,BG30,BG60)</f>
        <v>31791760</v>
      </c>
      <c r="BH63" s="728"/>
      <c r="BI63" s="728"/>
      <c r="BJ63" s="729">
        <f>SUM(BJ11,BJ30,BJ60)</f>
        <v>26001723</v>
      </c>
      <c r="BK63" s="728"/>
      <c r="BL63" s="728"/>
      <c r="BM63" s="729">
        <f>SUM(BM11,BM30,BM60)</f>
        <v>20476947</v>
      </c>
      <c r="BN63" s="728"/>
      <c r="BO63" s="728"/>
      <c r="BP63" s="729">
        <f>SUM(BP11,BP30,BP60)</f>
        <v>13943004</v>
      </c>
      <c r="BQ63" s="728"/>
      <c r="BR63" s="728"/>
      <c r="BS63" s="729">
        <f>SUM(BS11,BS30,BS60)</f>
        <v>12002391</v>
      </c>
      <c r="BT63" s="728"/>
      <c r="BU63" s="728"/>
      <c r="BV63" s="729">
        <f>SUM(BV11,BV30,BV60)</f>
        <v>5014178</v>
      </c>
      <c r="BW63" s="728"/>
      <c r="BX63" s="728"/>
      <c r="BY63" s="729">
        <f>SUM(BY11,BY30,BY60)</f>
        <v>58427</v>
      </c>
      <c r="BZ63" s="722"/>
    </row>
    <row r="64" spans="1:78" ht="13.5" thickTop="1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731"/>
      <c r="AL64" s="731"/>
      <c r="AM64" s="732"/>
      <c r="AN64" s="732"/>
      <c r="AO64" s="731"/>
      <c r="AP64" s="731"/>
      <c r="AQ64" s="731"/>
      <c r="AR64" s="731"/>
      <c r="AS64" s="731"/>
      <c r="AT64" s="731"/>
      <c r="AU64" s="731"/>
      <c r="AV64" s="731"/>
      <c r="AW64" s="731"/>
      <c r="AX64" s="731"/>
      <c r="AY64" s="731"/>
      <c r="AZ64" s="731"/>
      <c r="BA64" s="731"/>
      <c r="BB64" s="731"/>
      <c r="BC64" s="731"/>
      <c r="BD64" s="731"/>
      <c r="BE64" s="731"/>
      <c r="BF64" s="731"/>
      <c r="BG64" s="731"/>
      <c r="BH64" s="731"/>
      <c r="BI64" s="731"/>
      <c r="BJ64" s="731"/>
      <c r="BK64" s="731"/>
      <c r="BL64" s="731"/>
      <c r="BM64" s="731"/>
      <c r="BN64" s="731"/>
      <c r="BO64" s="731"/>
      <c r="BP64" s="731"/>
      <c r="BQ64" s="731"/>
      <c r="BR64" s="731"/>
      <c r="BS64" s="731"/>
      <c r="BT64" s="731"/>
      <c r="BU64" s="731"/>
      <c r="BV64" s="731"/>
      <c r="BW64" s="731"/>
      <c r="BX64" s="731"/>
      <c r="BY64" s="731"/>
      <c r="BZ64" s="435"/>
    </row>
    <row r="65" spans="1:78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35"/>
      <c r="BO65" s="435"/>
      <c r="BP65" s="435"/>
      <c r="BQ65" s="435"/>
      <c r="BR65" s="435"/>
      <c r="BS65" s="435"/>
      <c r="BT65" s="435"/>
      <c r="BU65" s="435"/>
      <c r="BV65" s="435"/>
      <c r="BW65" s="435"/>
      <c r="BX65" s="435"/>
      <c r="BY65" s="435"/>
      <c r="BZ65" s="435"/>
    </row>
    <row r="66" spans="1:78" hidden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  <c r="BA66" s="435"/>
      <c r="BB66" s="435"/>
      <c r="BC66" s="435"/>
      <c r="BD66" s="435"/>
      <c r="BE66" s="435"/>
      <c r="BF66" s="435"/>
      <c r="BG66" s="435"/>
      <c r="BH66" s="435"/>
      <c r="BI66" s="435"/>
      <c r="BJ66" s="435"/>
      <c r="BK66" s="435"/>
      <c r="BL66" s="435"/>
      <c r="BM66" s="435"/>
      <c r="BN66" s="435"/>
      <c r="BO66" s="435"/>
      <c r="BP66" s="435"/>
      <c r="BQ66" s="435"/>
      <c r="BR66" s="435"/>
      <c r="BS66" s="435"/>
      <c r="BT66" s="435"/>
      <c r="BU66" s="435"/>
      <c r="BV66" s="435"/>
      <c r="BW66" s="435"/>
      <c r="BX66" s="435"/>
      <c r="BY66" s="435"/>
      <c r="BZ66" s="435"/>
    </row>
    <row r="67" spans="1:78" hidden="1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  <c r="AW67" s="435"/>
      <c r="AX67" s="435"/>
      <c r="AY67" s="435"/>
      <c r="AZ67" s="435"/>
      <c r="BA67" s="435"/>
      <c r="BB67" s="435"/>
      <c r="BC67" s="435"/>
      <c r="BD67" s="435"/>
      <c r="BE67" s="435"/>
      <c r="BF67" s="435"/>
      <c r="BG67" s="435"/>
      <c r="BH67" s="435"/>
      <c r="BI67" s="435"/>
      <c r="BJ67" s="435"/>
      <c r="BK67" s="435"/>
      <c r="BL67" s="435"/>
      <c r="BM67" s="435"/>
      <c r="BN67" s="435"/>
      <c r="BO67" s="435"/>
      <c r="BP67" s="435"/>
      <c r="BQ67" s="435"/>
      <c r="BR67" s="435"/>
      <c r="BS67" s="435"/>
      <c r="BT67" s="435"/>
      <c r="BU67" s="435"/>
      <c r="BV67" s="435"/>
      <c r="BW67" s="435"/>
      <c r="BX67" s="435"/>
      <c r="BY67" s="435"/>
      <c r="BZ67" s="435"/>
    </row>
    <row r="68" spans="1:78"/>
    <row r="69" spans="1:78"/>
    <row r="70" spans="1:78"/>
    <row r="71" spans="1:78"/>
    <row r="72" spans="1:78"/>
    <row r="73" spans="1:78"/>
    <row r="74" spans="1:78"/>
    <row r="75" spans="1:78"/>
    <row r="76" spans="1:78"/>
    <row r="77" spans="1:78"/>
    <row r="78" spans="1:78"/>
    <row r="79" spans="1:78"/>
    <row r="80" spans="1:78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 ht="12.75" customHeight="1"/>
  </sheetData>
  <sheetProtection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43">
    <mergeCell ref="A62:B62"/>
    <mergeCell ref="AK62:AL62"/>
    <mergeCell ref="A63:B63"/>
    <mergeCell ref="BH61:BJ61"/>
    <mergeCell ref="BK61:BM61"/>
    <mergeCell ref="BN61:BP61"/>
    <mergeCell ref="BQ61:BS61"/>
    <mergeCell ref="BT61:BV61"/>
    <mergeCell ref="BW61:BY61"/>
    <mergeCell ref="AP61:AR61"/>
    <mergeCell ref="AS61:AU61"/>
    <mergeCell ref="AV61:AX61"/>
    <mergeCell ref="AY61:BA61"/>
    <mergeCell ref="BB61:BD61"/>
    <mergeCell ref="BE61:BG61"/>
    <mergeCell ref="Y61:Z61"/>
    <mergeCell ref="AA61:AB61"/>
    <mergeCell ref="AC61:AD61"/>
    <mergeCell ref="AE61:AF61"/>
    <mergeCell ref="AG61:AH61"/>
    <mergeCell ref="AM61:AO61"/>
    <mergeCell ref="M61:N61"/>
    <mergeCell ref="O61:P61"/>
    <mergeCell ref="Q61:R61"/>
    <mergeCell ref="S61:T61"/>
    <mergeCell ref="U61:V61"/>
    <mergeCell ref="W61:X61"/>
    <mergeCell ref="BK33:BM33"/>
    <mergeCell ref="BN33:BP33"/>
    <mergeCell ref="BQ33:BS33"/>
    <mergeCell ref="BT33:BV33"/>
    <mergeCell ref="BW33:BY33"/>
    <mergeCell ref="C61:D61"/>
    <mergeCell ref="E61:F61"/>
    <mergeCell ref="G61:H61"/>
    <mergeCell ref="I61:J61"/>
    <mergeCell ref="K61:L61"/>
    <mergeCell ref="AS33:AU33"/>
    <mergeCell ref="AV33:AX33"/>
    <mergeCell ref="AY33:BA33"/>
    <mergeCell ref="BB33:BD33"/>
    <mergeCell ref="BE33:BG33"/>
    <mergeCell ref="BH33:BJ33"/>
    <mergeCell ref="AA33:AB33"/>
    <mergeCell ref="AC33:AD33"/>
    <mergeCell ref="AE33:AF33"/>
    <mergeCell ref="AG33:AH33"/>
    <mergeCell ref="AM33:AO33"/>
    <mergeCell ref="AP33:AR33"/>
    <mergeCell ref="M33:N33"/>
    <mergeCell ref="O33:P33"/>
    <mergeCell ref="Q33:R33"/>
    <mergeCell ref="U33:V33"/>
    <mergeCell ref="W33:X33"/>
    <mergeCell ref="Y33:Z33"/>
    <mergeCell ref="AA31:AB31"/>
    <mergeCell ref="AC31:AD31"/>
    <mergeCell ref="AE31:AF31"/>
    <mergeCell ref="AG31:AH31"/>
    <mergeCell ref="U31:V31"/>
    <mergeCell ref="W31:X31"/>
    <mergeCell ref="Y31:Z31"/>
    <mergeCell ref="A32:B32"/>
    <mergeCell ref="A33:B33"/>
    <mergeCell ref="C33:D33"/>
    <mergeCell ref="G33:H33"/>
    <mergeCell ref="I33:J33"/>
    <mergeCell ref="K33:L33"/>
    <mergeCell ref="O31:P31"/>
    <mergeCell ref="Q31:R31"/>
    <mergeCell ref="S31:T31"/>
    <mergeCell ref="C31:D31"/>
    <mergeCell ref="E31:F31"/>
    <mergeCell ref="G31:H31"/>
    <mergeCell ref="I31:J31"/>
    <mergeCell ref="K31:L31"/>
    <mergeCell ref="M31:N31"/>
    <mergeCell ref="BH12:BJ12"/>
    <mergeCell ref="BK12:BM12"/>
    <mergeCell ref="BN12:BP12"/>
    <mergeCell ref="BQ12:BS12"/>
    <mergeCell ref="BT12:BV12"/>
    <mergeCell ref="BW12:BY12"/>
    <mergeCell ref="AP12:AR12"/>
    <mergeCell ref="AS12:AU12"/>
    <mergeCell ref="AV12:AX12"/>
    <mergeCell ref="AY12:BA12"/>
    <mergeCell ref="BB12:BD12"/>
    <mergeCell ref="BE12:BG12"/>
    <mergeCell ref="BH4:BJ4"/>
    <mergeCell ref="AA4:AB4"/>
    <mergeCell ref="AC4:AD4"/>
    <mergeCell ref="AE4:AF4"/>
    <mergeCell ref="AG4:AH4"/>
    <mergeCell ref="AM4:AO4"/>
    <mergeCell ref="AP4:AR4"/>
    <mergeCell ref="AK3:AK4"/>
    <mergeCell ref="AL3:AL4"/>
    <mergeCell ref="AM3:BY3"/>
    <mergeCell ref="BK4:BM4"/>
    <mergeCell ref="BN4:BP4"/>
    <mergeCell ref="BQ4:BS4"/>
    <mergeCell ref="BT4:BV4"/>
    <mergeCell ref="BW4:BY4"/>
    <mergeCell ref="BE4:BG4"/>
    <mergeCell ref="C12:D12"/>
    <mergeCell ref="E12:F12"/>
    <mergeCell ref="G12:H12"/>
    <mergeCell ref="I12:J12"/>
    <mergeCell ref="K12:L12"/>
    <mergeCell ref="AS4:AU4"/>
    <mergeCell ref="AV4:AX4"/>
    <mergeCell ref="AY4:BA4"/>
    <mergeCell ref="BB4:BD4"/>
    <mergeCell ref="Y12:Z12"/>
    <mergeCell ref="AA12:AB12"/>
    <mergeCell ref="AC12:AD12"/>
    <mergeCell ref="AE12:AF12"/>
    <mergeCell ref="AG12:AH12"/>
    <mergeCell ref="AM12:AO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</mergeCells>
  <pageMargins left="0.43307086614173229" right="0.43307086614173229" top="0.9055118110236221" bottom="0.82677165354330717" header="0.51181102362204722" footer="0.51181102362204722"/>
  <pageSetup paperSize="8" scale="58" fitToWidth="5" orientation="landscape" r:id="rId2"/>
  <headerFooter alignWithMargins="0"/>
  <colBreaks count="2" manualBreakCount="2">
    <brk id="13" min="2" max="56" man="1"/>
    <brk id="28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21</vt:i4>
      </vt:variant>
    </vt:vector>
  </HeadingPairs>
  <TitlesOfParts>
    <vt:vector size="45" baseType="lpstr">
      <vt:lpstr>WPF</vt:lpstr>
      <vt:lpstr>Prognozowana kwota długu</vt:lpstr>
      <vt:lpstr>Planowane spłaty zobowiązań</vt:lpstr>
      <vt:lpstr>Przedsięwzięcia - bierzące</vt:lpstr>
      <vt:lpstr>Przedsięwzięcia  - majątkowe</vt:lpstr>
      <vt:lpstr>Przedsięwzięcia - Poręczenia</vt:lpstr>
      <vt:lpstr>Harmonogram</vt:lpstr>
      <vt:lpstr>HSZ do groszy</vt:lpstr>
      <vt:lpstr>HSZ do złotówek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Arkusz1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'Planowane spłaty zobowiązań'!Obszar_wydruku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'Przedsięwzięcia  - majątkowe'!Obszar_wydruku</vt:lpstr>
      <vt:lpstr>WPF!Obszar_wydruku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b.tanhojzer</cp:lastModifiedBy>
  <cp:lastPrinted>2012-03-29T09:30:41Z</cp:lastPrinted>
  <dcterms:created xsi:type="dcterms:W3CDTF">2010-06-05T20:15:04Z</dcterms:created>
  <dcterms:modified xsi:type="dcterms:W3CDTF">2012-04-03T07:21:03Z</dcterms:modified>
</cp:coreProperties>
</file>