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7400" windowHeight="12120" tabRatio="725" firstSheet="6" activeTab="6"/>
  </bookViews>
  <sheets>
    <sheet name="Prognozowana kwota długu" sheetId="2" state="hidden" r:id="rId1"/>
    <sheet name="Planowane spłaty zobowiązań" sheetId="3" state="hidden" r:id="rId2"/>
    <sheet name="Przedsięwzięcia - bierzące" sheetId="4" state="hidden" r:id="rId3"/>
    <sheet name="poreczenia nieaktualne" sheetId="6" state="hidden" r:id="rId4"/>
    <sheet name="Harmonogram" sheetId="20" state="hidden" r:id="rId5"/>
    <sheet name="art.243" sheetId="30" state="hidden" r:id="rId6"/>
    <sheet name="WPF styczeń 2013" sheetId="1" r:id="rId7"/>
    <sheet name="HSZ do groszy" sheetId="7" state="hidden" r:id="rId8"/>
    <sheet name="HSZ do złotówek" sheetId="8" state="hidden" r:id="rId9"/>
    <sheet name="Przeds maj styczeń 2013" sheetId="5" state="hidden" r:id="rId10"/>
    <sheet name="Przeds bieżace  styczeń 2013 " sheetId="25" state="hidden" r:id="rId11"/>
    <sheet name="obligacje 2013" sheetId="9" state="hidden" r:id="rId12"/>
    <sheet name="obligacje 2014" sheetId="10" state="hidden" r:id="rId13"/>
    <sheet name="obligacje 2015" sheetId="11" state="hidden" r:id="rId14"/>
    <sheet name="obligacje 2016" sheetId="12" state="hidden" r:id="rId15"/>
    <sheet name="obligacje 2017" sheetId="13" state="hidden" r:id="rId16"/>
    <sheet name="obligacje 2018" sheetId="14" state="hidden" r:id="rId17"/>
    <sheet name="obligacje 2019" sheetId="15" state="hidden" r:id="rId18"/>
    <sheet name="obligacje 2020" sheetId="16" state="hidden" r:id="rId19"/>
    <sheet name="obligacje 2021" sheetId="17" state="hidden" r:id="rId20"/>
    <sheet name="obligacje 2022" sheetId="18" state="hidden" r:id="rId21"/>
    <sheet name="obligacje 2023" sheetId="19" state="hidden" r:id="rId22"/>
    <sheet name="pożyczka 2013" sheetId="21" state="hidden" r:id="rId23"/>
    <sheet name="pożyczka 2014" sheetId="22" state="hidden" r:id="rId24"/>
    <sheet name="pożyczka 2015" sheetId="23" state="hidden" r:id="rId25"/>
    <sheet name="Przeds Poręczenia" sheetId="26" state="hidden" r:id="rId26"/>
    <sheet name="pożyczka jessica" sheetId="27" state="hidden" r:id="rId27"/>
    <sheet name="kredyt jessica" sheetId="28" state="hidden" r:id="rId28"/>
    <sheet name="Arkusz1" sheetId="29" state="hidden" r:id="rId29"/>
    <sheet name="Arkusz2" sheetId="31" state="hidden" r:id="rId30"/>
  </sheets>
  <externalReferences>
    <externalReference r:id="rId31"/>
  </externalReferences>
  <definedNames>
    <definedName name="_xlnm.Print_Area" localSheetId="4">Harmonogram!$B$1:$AB$33</definedName>
    <definedName name="_xlnm.Print_Area" localSheetId="7">'HSZ do groszy'!$A$2:$CY$61</definedName>
    <definedName name="_xlnm.Print_Area" localSheetId="8">'HSZ do złotówek'!$A$3:$CX$64</definedName>
    <definedName name="_xlnm.Print_Area" localSheetId="11">'obligacje 2013'!$A$1:$W$172</definedName>
    <definedName name="_xlnm.Print_Area" localSheetId="12">'obligacje 2014'!$A$1:$W$172</definedName>
    <definedName name="_xlnm.Print_Area" localSheetId="13">'obligacje 2015'!$A$1:$W$172</definedName>
    <definedName name="_xlnm.Print_Area" localSheetId="14">'obligacje 2016'!$A$1:$W$172</definedName>
    <definedName name="_xlnm.Print_Area" localSheetId="15">'obligacje 2017'!$A$1:$W$172</definedName>
    <definedName name="_xlnm.Print_Area" localSheetId="16">'obligacje 2018'!$A$1:$W$172</definedName>
    <definedName name="_xlnm.Print_Area" localSheetId="17">'obligacje 2019'!$A$1:$W$172</definedName>
    <definedName name="_xlnm.Print_Area" localSheetId="18">'obligacje 2020'!$A$1:$W$172</definedName>
    <definedName name="_xlnm.Print_Area" localSheetId="19">'obligacje 2021'!$A$1:$W$172</definedName>
    <definedName name="_xlnm.Print_Area" localSheetId="20">'obligacje 2022'!$A$1:$W$172</definedName>
    <definedName name="_xlnm.Print_Area" localSheetId="21">'obligacje 2023'!$A$1:$W$172</definedName>
    <definedName name="_xlnm.Print_Area" localSheetId="1">'Planowane spłaty zobowiązań'!$A$1:$U$58</definedName>
    <definedName name="_xlnm.Print_Area" localSheetId="22">'pożyczka 2013'!$A$1:$W$172</definedName>
    <definedName name="_xlnm.Print_Area" localSheetId="23">'pożyczka 2014'!$A$1:$W$172</definedName>
    <definedName name="_xlnm.Print_Area" localSheetId="24">'pożyczka 2015'!$A$1:$W$172</definedName>
    <definedName name="_xlnm.Print_Area" localSheetId="0">'Prognozowana kwota długu'!$A$1:$U$44</definedName>
    <definedName name="_xlnm.Print_Area" localSheetId="10">'Przeds bieżace  styczeń 2013 '!$A$1:$AA$337</definedName>
    <definedName name="_xlnm.Print_Area" localSheetId="9">'Przeds maj styczeń 2013'!$A$1:$U$324</definedName>
    <definedName name="_xlnm.Print_Area" localSheetId="25">'Przeds Poręczenia'!$A$1:$AB$111</definedName>
    <definedName name="_xlnm.Print_Area" localSheetId="6">'WPF styczeń 2013'!$A$1:$AF$112</definedName>
    <definedName name="_xlnm.Print_Titles" localSheetId="11">'obligacje 2013'!#REF!</definedName>
    <definedName name="_xlnm.Print_Titles" localSheetId="12">'obligacje 2014'!#REF!</definedName>
    <definedName name="_xlnm.Print_Titles" localSheetId="13">'obligacje 2015'!#REF!</definedName>
    <definedName name="_xlnm.Print_Titles" localSheetId="14">'obligacje 2016'!#REF!</definedName>
    <definedName name="_xlnm.Print_Titles" localSheetId="15">'obligacje 2017'!#REF!</definedName>
    <definedName name="_xlnm.Print_Titles" localSheetId="16">'obligacje 2018'!#REF!</definedName>
    <definedName name="_xlnm.Print_Titles" localSheetId="17">'obligacje 2019'!#REF!</definedName>
    <definedName name="_xlnm.Print_Titles" localSheetId="18">'obligacje 2020'!#REF!</definedName>
    <definedName name="_xlnm.Print_Titles" localSheetId="19">'obligacje 2021'!#REF!</definedName>
    <definedName name="_xlnm.Print_Titles" localSheetId="20">'obligacje 2022'!#REF!</definedName>
    <definedName name="_xlnm.Print_Titles" localSheetId="21">'obligacje 2023'!#REF!</definedName>
    <definedName name="_xlnm.Print_Titles" localSheetId="22">'pożyczka 2013'!#REF!</definedName>
    <definedName name="_xlnm.Print_Titles" localSheetId="23">'pożyczka 2014'!#REF!</definedName>
    <definedName name="_xlnm.Print_Titles" localSheetId="24">'pożyczka 2015'!#REF!</definedName>
    <definedName name="Z_7BD7CFEC_630A_43DC_A164_EFC05DD38EF7_.wvu.Cols" localSheetId="7" hidden="1">'HSZ do groszy'!$CZ:$XFD</definedName>
    <definedName name="Z_7BD7CFEC_630A_43DC_A164_EFC05DD38EF7_.wvu.Cols" localSheetId="8" hidden="1">'HSZ do złotówek'!$CY:$XFD</definedName>
    <definedName name="Z_7BD7CFEC_630A_43DC_A164_EFC05DD38EF7_.wvu.Cols" localSheetId="3" hidden="1">'poreczenia nieaktualne'!$AC:$XFD</definedName>
    <definedName name="Z_7BD7CFEC_630A_43DC_A164_EFC05DD38EF7_.wvu.Cols" localSheetId="0" hidden="1">'Prognozowana kwota długu'!$R:$XFD</definedName>
    <definedName name="Z_7BD7CFEC_630A_43DC_A164_EFC05DD38EF7_.wvu.Cols" localSheetId="10" hidden="1">'Przeds bieżace  styczeń 2013 '!$AC:$XFD</definedName>
    <definedName name="Z_7BD7CFEC_630A_43DC_A164_EFC05DD38EF7_.wvu.Cols" localSheetId="9" hidden="1">'Przeds maj styczeń 2013'!$W:$XFD</definedName>
    <definedName name="Z_7BD7CFEC_630A_43DC_A164_EFC05DD38EF7_.wvu.Cols" localSheetId="2" hidden="1">'Przedsięwzięcia - bierzące'!$X:$XFD</definedName>
    <definedName name="Z_7BD7CFEC_630A_43DC_A164_EFC05DD38EF7_.wvu.Cols" localSheetId="6" hidden="1">'WPF styczeń 2013'!$S:$AF,'WPF styczeń 2013'!$AH:$XFD</definedName>
    <definedName name="Z_7BD7CFEC_630A_43DC_A164_EFC05DD38EF7_.wvu.PrintArea" localSheetId="7" hidden="1">'HSZ do groszy'!$A$2:$AH$61,'HSZ do groszy'!$AU$2:$CX$61</definedName>
    <definedName name="Z_7BD7CFEC_630A_43DC_A164_EFC05DD38EF7_.wvu.PrintArea" localSheetId="8" hidden="1">'HSZ do złotówek'!$A$3:$CI$64</definedName>
    <definedName name="Z_7BD7CFEC_630A_43DC_A164_EFC05DD38EF7_.wvu.PrintArea" localSheetId="11" hidden="1">'obligacje 2013'!$A$1:$W$172</definedName>
    <definedName name="Z_7BD7CFEC_630A_43DC_A164_EFC05DD38EF7_.wvu.PrintArea" localSheetId="12" hidden="1">'obligacje 2014'!$A$1:$W$172</definedName>
    <definedName name="Z_7BD7CFEC_630A_43DC_A164_EFC05DD38EF7_.wvu.PrintArea" localSheetId="13" hidden="1">'obligacje 2015'!$A$1:$W$172</definedName>
    <definedName name="Z_7BD7CFEC_630A_43DC_A164_EFC05DD38EF7_.wvu.PrintArea" localSheetId="14" hidden="1">'obligacje 2016'!$A$1:$W$172</definedName>
    <definedName name="Z_7BD7CFEC_630A_43DC_A164_EFC05DD38EF7_.wvu.PrintArea" localSheetId="15" hidden="1">'obligacje 2017'!$A$1:$W$172</definedName>
    <definedName name="Z_7BD7CFEC_630A_43DC_A164_EFC05DD38EF7_.wvu.PrintArea" localSheetId="16" hidden="1">'obligacje 2018'!$A$1:$W$172</definedName>
    <definedName name="Z_7BD7CFEC_630A_43DC_A164_EFC05DD38EF7_.wvu.PrintArea" localSheetId="17" hidden="1">'obligacje 2019'!$A$1:$W$172</definedName>
    <definedName name="Z_7BD7CFEC_630A_43DC_A164_EFC05DD38EF7_.wvu.PrintArea" localSheetId="18" hidden="1">'obligacje 2020'!$A$1:$W$172</definedName>
    <definedName name="Z_7BD7CFEC_630A_43DC_A164_EFC05DD38EF7_.wvu.PrintArea" localSheetId="19" hidden="1">'obligacje 2021'!$A$1:$W$172</definedName>
    <definedName name="Z_7BD7CFEC_630A_43DC_A164_EFC05DD38EF7_.wvu.PrintArea" localSheetId="20" hidden="1">'obligacje 2022'!$A$1:$W$172</definedName>
    <definedName name="Z_7BD7CFEC_630A_43DC_A164_EFC05DD38EF7_.wvu.PrintArea" localSheetId="21" hidden="1">'obligacje 2023'!$A$1:$W$172</definedName>
    <definedName name="Z_7BD7CFEC_630A_43DC_A164_EFC05DD38EF7_.wvu.PrintArea" localSheetId="22" hidden="1">'pożyczka 2013'!$A$1:$W$172</definedName>
    <definedName name="Z_7BD7CFEC_630A_43DC_A164_EFC05DD38EF7_.wvu.PrintArea" localSheetId="23" hidden="1">'pożyczka 2014'!$A$1:$W$172</definedName>
    <definedName name="Z_7BD7CFEC_630A_43DC_A164_EFC05DD38EF7_.wvu.PrintArea" localSheetId="24" hidden="1">'pożyczka 2015'!$A$1:$W$172</definedName>
    <definedName name="Z_7BD7CFEC_630A_43DC_A164_EFC05DD38EF7_.wvu.PrintArea" localSheetId="6" hidden="1">'WPF styczeń 2013'!$A$2:$AM$110</definedName>
    <definedName name="Z_7BD7CFEC_630A_43DC_A164_EFC05DD38EF7_.wvu.Rows" localSheetId="7" hidden="1">'HSZ do groszy'!$120:$1048576,'HSZ do groszy'!$63:$74,'HSZ do groszy'!$88:$89</definedName>
    <definedName name="Z_7BD7CFEC_630A_43DC_A164_EFC05DD38EF7_.wvu.Rows" localSheetId="8" hidden="1">'HSZ do złotówek'!$99:$1048576,'HSZ do złotówek'!$67:$68</definedName>
    <definedName name="Z_7BD7CFEC_630A_43DC_A164_EFC05DD38EF7_.wvu.Rows" localSheetId="1" hidden="1">'Planowane spłaty zobowiązań'!$75:$1048576,'Planowane spłaty zobowiązań'!$60:$73</definedName>
    <definedName name="Z_7BD7CFEC_630A_43DC_A164_EFC05DD38EF7_.wvu.Rows" localSheetId="0" hidden="1">'Prognozowana kwota długu'!$68:$1048576,'Prognozowana kwota długu'!$46:$67</definedName>
    <definedName name="Z_7BD7CFEC_630A_43DC_A164_EFC05DD38EF7_.wvu.Rows" localSheetId="6" hidden="1">'WPF styczeń 2013'!$150:$1048576,'WPF styczeń 2013'!$114:$114</definedName>
  </definedNames>
  <calcPr calcId="145621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Q228" i="5" l="1"/>
  <c r="Q99" i="5"/>
  <c r="AG28" i="7"/>
  <c r="AE28" i="7"/>
  <c r="AC28" i="7"/>
  <c r="AA28" i="7"/>
  <c r="Y28" i="7"/>
  <c r="W28" i="7"/>
  <c r="U28" i="7"/>
  <c r="S28" i="7"/>
  <c r="Q28" i="7"/>
  <c r="O28" i="7"/>
  <c r="AA2" i="22"/>
  <c r="AK10" i="8" l="1"/>
  <c r="AA11" i="7"/>
  <c r="Q315" i="5" l="1"/>
  <c r="L315" i="5"/>
  <c r="L311" i="5"/>
  <c r="T26" i="5"/>
  <c r="T24" i="5"/>
  <c r="Q24" i="5"/>
  <c r="Q319" i="5" s="1"/>
  <c r="N24" i="5"/>
  <c r="T22" i="5"/>
  <c r="T20" i="5"/>
  <c r="N20" i="5"/>
  <c r="S16" i="5"/>
  <c r="U26" i="5" s="1"/>
  <c r="R16" i="5"/>
  <c r="U24" i="5" s="1"/>
  <c r="Q16" i="5"/>
  <c r="U22" i="5" s="1"/>
  <c r="P16" i="5"/>
  <c r="U20" i="5" s="1"/>
  <c r="T16" i="5" l="1"/>
  <c r="P319" i="5"/>
  <c r="N16" i="5"/>
  <c r="S319" i="5" l="1"/>
  <c r="S315" i="5"/>
  <c r="R315" i="5"/>
  <c r="N37" i="5"/>
  <c r="T37" i="5"/>
  <c r="U37" i="5"/>
  <c r="T39" i="5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R198" i="5" l="1"/>
  <c r="R319" i="5" s="1"/>
  <c r="L28" i="1"/>
  <c r="V12" i="1" l="1"/>
  <c r="E36" i="7"/>
  <c r="E23" i="7"/>
  <c r="E22" i="7"/>
  <c r="E21" i="7"/>
  <c r="E20" i="7"/>
  <c r="E19" i="7"/>
  <c r="E18" i="7"/>
  <c r="E17" i="7"/>
  <c r="E16" i="7"/>
  <c r="E15" i="7"/>
  <c r="E14" i="7"/>
  <c r="P315" i="5" l="1"/>
  <c r="N172" i="5" l="1"/>
  <c r="N103" i="5" l="1"/>
  <c r="S311" i="5" l="1"/>
  <c r="R311" i="5"/>
  <c r="N241" i="5"/>
  <c r="T239" i="5"/>
  <c r="T237" i="5"/>
  <c r="N237" i="5"/>
  <c r="S233" i="5"/>
  <c r="R233" i="5"/>
  <c r="U241" i="5" s="1"/>
  <c r="Q233" i="5"/>
  <c r="U239" i="5" s="1"/>
  <c r="P233" i="5"/>
  <c r="U237" i="5" s="1"/>
  <c r="N228" i="5"/>
  <c r="T226" i="5"/>
  <c r="T224" i="5"/>
  <c r="N224" i="5"/>
  <c r="S220" i="5"/>
  <c r="R220" i="5"/>
  <c r="Q220" i="5"/>
  <c r="U226" i="5" s="1"/>
  <c r="P220" i="5"/>
  <c r="U224" i="5" s="1"/>
  <c r="N267" i="5"/>
  <c r="T265" i="5"/>
  <c r="T263" i="5"/>
  <c r="N263" i="5"/>
  <c r="S259" i="5"/>
  <c r="R259" i="5"/>
  <c r="U267" i="5" s="1"/>
  <c r="Q259" i="5"/>
  <c r="U265" i="5" s="1"/>
  <c r="P259" i="5"/>
  <c r="U263" i="5" s="1"/>
  <c r="N254" i="5"/>
  <c r="T252" i="5"/>
  <c r="T250" i="5"/>
  <c r="N250" i="5"/>
  <c r="S246" i="5"/>
  <c r="R246" i="5"/>
  <c r="Q246" i="5"/>
  <c r="U252" i="5" s="1"/>
  <c r="P246" i="5"/>
  <c r="U250" i="5" s="1"/>
  <c r="R329" i="25"/>
  <c r="R333" i="25"/>
  <c r="Q333" i="25"/>
  <c r="P333" i="25"/>
  <c r="Q329" i="25"/>
  <c r="P329" i="25"/>
  <c r="N246" i="25"/>
  <c r="N242" i="25"/>
  <c r="Y238" i="25"/>
  <c r="X238" i="25"/>
  <c r="W238" i="25"/>
  <c r="V238" i="25"/>
  <c r="U238" i="25"/>
  <c r="T238" i="25"/>
  <c r="S238" i="25"/>
  <c r="R238" i="25"/>
  <c r="AA248" i="25" s="1"/>
  <c r="Q238" i="25"/>
  <c r="AA246" i="25" s="1"/>
  <c r="P238" i="25"/>
  <c r="AA244" i="25" s="1"/>
  <c r="N293" i="5"/>
  <c r="T291" i="5"/>
  <c r="T289" i="5"/>
  <c r="N289" i="5"/>
  <c r="S285" i="5"/>
  <c r="U295" i="5" s="1"/>
  <c r="R285" i="5"/>
  <c r="U293" i="5" s="1"/>
  <c r="Q285" i="5"/>
  <c r="U291" i="5" s="1"/>
  <c r="P285" i="5"/>
  <c r="U289" i="5" s="1"/>
  <c r="N259" i="25"/>
  <c r="N255" i="25"/>
  <c r="Y251" i="25"/>
  <c r="X251" i="25"/>
  <c r="W251" i="25"/>
  <c r="V251" i="25"/>
  <c r="U251" i="25"/>
  <c r="T251" i="25"/>
  <c r="S251" i="25"/>
  <c r="R251" i="25"/>
  <c r="AA261" i="25" s="1"/>
  <c r="Q251" i="25"/>
  <c r="AA259" i="25" s="1"/>
  <c r="P251" i="25"/>
  <c r="AA257" i="25" s="1"/>
  <c r="N233" i="25"/>
  <c r="N229" i="25"/>
  <c r="Y225" i="25"/>
  <c r="X225" i="25"/>
  <c r="W225" i="25"/>
  <c r="V225" i="25"/>
  <c r="U225" i="25"/>
  <c r="T225" i="25"/>
  <c r="S225" i="25"/>
  <c r="R225" i="25"/>
  <c r="AA235" i="25" s="1"/>
  <c r="Q225" i="25"/>
  <c r="AA233" i="25" s="1"/>
  <c r="P225" i="25"/>
  <c r="AA231" i="25" s="1"/>
  <c r="P104" i="25"/>
  <c r="N280" i="5"/>
  <c r="T278" i="5"/>
  <c r="T276" i="5"/>
  <c r="N276" i="5"/>
  <c r="S272" i="5"/>
  <c r="R272" i="5"/>
  <c r="Q272" i="5"/>
  <c r="U278" i="5" s="1"/>
  <c r="P272" i="5"/>
  <c r="U276" i="5" s="1"/>
  <c r="N246" i="5" l="1"/>
  <c r="T220" i="5"/>
  <c r="N220" i="5" s="1"/>
  <c r="N315" i="5"/>
  <c r="T285" i="5"/>
  <c r="N285" i="5" s="1"/>
  <c r="T246" i="5"/>
  <c r="T233" i="5"/>
  <c r="N233" i="5" s="1"/>
  <c r="T259" i="5"/>
  <c r="N259" i="5" s="1"/>
  <c r="N238" i="25"/>
  <c r="P339" i="25"/>
  <c r="Z238" i="25"/>
  <c r="Z251" i="25"/>
  <c r="N251" i="25"/>
  <c r="N333" i="25"/>
  <c r="N225" i="25"/>
  <c r="L225" i="25" s="1"/>
  <c r="Z225" i="25"/>
  <c r="T272" i="5"/>
  <c r="N272" i="5" s="1"/>
  <c r="D17" i="30" l="1"/>
  <c r="D18" i="30"/>
  <c r="K28" i="30"/>
  <c r="K27" i="30"/>
  <c r="K26" i="30"/>
  <c r="K25" i="30"/>
  <c r="K21" i="30"/>
  <c r="K20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19" i="30"/>
  <c r="I18" i="30"/>
  <c r="I17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N84" i="26" l="1"/>
  <c r="N79" i="26"/>
  <c r="AA74" i="26"/>
  <c r="Z74" i="26"/>
  <c r="Z104" i="26" s="1"/>
  <c r="Y74" i="26"/>
  <c r="Y104" i="26" s="1"/>
  <c r="X74" i="26"/>
  <c r="X104" i="26" s="1"/>
  <c r="W74" i="26"/>
  <c r="W104" i="26" s="1"/>
  <c r="V74" i="26"/>
  <c r="V104" i="26" s="1"/>
  <c r="U74" i="26"/>
  <c r="U104" i="26" s="1"/>
  <c r="T74" i="26"/>
  <c r="T104" i="26" s="1"/>
  <c r="S74" i="26"/>
  <c r="S104" i="26" s="1"/>
  <c r="R74" i="26"/>
  <c r="R104" i="26" s="1"/>
  <c r="Q74" i="26"/>
  <c r="Q104" i="26" s="1"/>
  <c r="P74" i="26"/>
  <c r="N74" i="26" l="1"/>
  <c r="L74" i="26" s="1"/>
  <c r="N70" i="26"/>
  <c r="N65" i="26" l="1"/>
  <c r="L333" i="25" l="1"/>
  <c r="N208" i="25"/>
  <c r="N204" i="25" s="1"/>
  <c r="L204" i="25" s="1"/>
  <c r="Y204" i="25"/>
  <c r="X204" i="25"/>
  <c r="W204" i="25"/>
  <c r="V204" i="25"/>
  <c r="U204" i="25"/>
  <c r="T204" i="25"/>
  <c r="S204" i="25"/>
  <c r="R204" i="25"/>
  <c r="Q204" i="25"/>
  <c r="AA210" i="25" s="1"/>
  <c r="P204" i="25"/>
  <c r="AA208" i="25" s="1"/>
  <c r="Z204" i="25" s="1"/>
  <c r="N199" i="25"/>
  <c r="N195" i="25"/>
  <c r="N191" i="25" s="1"/>
  <c r="L191" i="25" s="1"/>
  <c r="Y191" i="25"/>
  <c r="X191" i="25"/>
  <c r="W191" i="25"/>
  <c r="V191" i="25"/>
  <c r="U191" i="25"/>
  <c r="T191" i="25"/>
  <c r="S191" i="25"/>
  <c r="R191" i="25"/>
  <c r="Q191" i="25"/>
  <c r="AA199" i="25" s="1"/>
  <c r="P191" i="25"/>
  <c r="AA197" i="25" s="1"/>
  <c r="Z191" i="25" s="1"/>
  <c r="N186" i="25"/>
  <c r="N182" i="25"/>
  <c r="N178" i="25" s="1"/>
  <c r="L178" i="25" s="1"/>
  <c r="Y178" i="25"/>
  <c r="X178" i="25"/>
  <c r="W178" i="25"/>
  <c r="V178" i="25"/>
  <c r="U178" i="25"/>
  <c r="T178" i="25"/>
  <c r="S178" i="25"/>
  <c r="R178" i="25"/>
  <c r="Q178" i="25"/>
  <c r="AA186" i="25" s="1"/>
  <c r="P178" i="25"/>
  <c r="AA184" i="25" s="1"/>
  <c r="Z178" i="25" s="1"/>
  <c r="N160" i="25"/>
  <c r="N156" i="25"/>
  <c r="N152" i="25" s="1"/>
  <c r="Y152" i="25"/>
  <c r="X152" i="25"/>
  <c r="W152" i="25"/>
  <c r="V152" i="25"/>
  <c r="U152" i="25"/>
  <c r="T152" i="25"/>
  <c r="S152" i="25"/>
  <c r="R152" i="25"/>
  <c r="Q152" i="25"/>
  <c r="AA160" i="25" s="1"/>
  <c r="P152" i="25"/>
  <c r="AA158" i="25" s="1"/>
  <c r="Z152" i="25" s="1"/>
  <c r="N147" i="25"/>
  <c r="N143" i="25"/>
  <c r="N139" i="25" s="1"/>
  <c r="Y139" i="25"/>
  <c r="X139" i="25"/>
  <c r="W139" i="25"/>
  <c r="V139" i="25"/>
  <c r="U139" i="25"/>
  <c r="T139" i="25"/>
  <c r="S139" i="25"/>
  <c r="R139" i="25"/>
  <c r="Q139" i="25"/>
  <c r="AA147" i="25" s="1"/>
  <c r="P139" i="25"/>
  <c r="AA145" i="25" s="1"/>
  <c r="Z139" i="25" s="1"/>
  <c r="N134" i="25"/>
  <c r="N130" i="25"/>
  <c r="N126" i="25" s="1"/>
  <c r="Y126" i="25"/>
  <c r="X126" i="25"/>
  <c r="W126" i="25"/>
  <c r="V126" i="25"/>
  <c r="U126" i="25"/>
  <c r="T126" i="25"/>
  <c r="S126" i="25"/>
  <c r="R126" i="25"/>
  <c r="AA136" i="25" s="1"/>
  <c r="Q126" i="25"/>
  <c r="AA134" i="25" s="1"/>
  <c r="P126" i="25"/>
  <c r="AA132" i="25" s="1"/>
  <c r="N121" i="25"/>
  <c r="N117" i="25"/>
  <c r="Y113" i="25"/>
  <c r="X113" i="25"/>
  <c r="W113" i="25"/>
  <c r="V113" i="25"/>
  <c r="U113" i="25"/>
  <c r="T113" i="25"/>
  <c r="S113" i="25"/>
  <c r="R113" i="25"/>
  <c r="AA123" i="25" s="1"/>
  <c r="Q113" i="25"/>
  <c r="AA121" i="25" s="1"/>
  <c r="P113" i="25"/>
  <c r="AA119" i="25" s="1"/>
  <c r="N108" i="25"/>
  <c r="N104" i="25"/>
  <c r="Y100" i="25"/>
  <c r="X100" i="25"/>
  <c r="W100" i="25"/>
  <c r="V100" i="25"/>
  <c r="U100" i="25"/>
  <c r="T100" i="25"/>
  <c r="S100" i="25"/>
  <c r="R100" i="25"/>
  <c r="Q100" i="25"/>
  <c r="AA108" i="25" s="1"/>
  <c r="P100" i="25"/>
  <c r="AA106" i="25" s="1"/>
  <c r="N95" i="25"/>
  <c r="N91" i="25"/>
  <c r="Y87" i="25"/>
  <c r="X87" i="25"/>
  <c r="W87" i="25"/>
  <c r="V87" i="25"/>
  <c r="U87" i="25"/>
  <c r="T87" i="25"/>
  <c r="S87" i="25"/>
  <c r="R87" i="25"/>
  <c r="Q87" i="25"/>
  <c r="P87" i="25"/>
  <c r="AA93" i="25" s="1"/>
  <c r="Z87" i="25" s="1"/>
  <c r="N82" i="25"/>
  <c r="N78" i="25"/>
  <c r="Y74" i="25"/>
  <c r="X74" i="25"/>
  <c r="W74" i="25"/>
  <c r="V74" i="25"/>
  <c r="U74" i="25"/>
  <c r="T74" i="25"/>
  <c r="S74" i="25"/>
  <c r="R74" i="25"/>
  <c r="Q74" i="25"/>
  <c r="AA82" i="25" s="1"/>
  <c r="P74" i="25"/>
  <c r="AA80" i="25" s="1"/>
  <c r="N69" i="25"/>
  <c r="N65" i="25"/>
  <c r="Y61" i="25"/>
  <c r="X61" i="25"/>
  <c r="W61" i="25"/>
  <c r="V61" i="25"/>
  <c r="U61" i="25"/>
  <c r="T61" i="25"/>
  <c r="S61" i="25"/>
  <c r="R61" i="25"/>
  <c r="Q61" i="25"/>
  <c r="P61" i="25"/>
  <c r="AA67" i="25" s="1"/>
  <c r="Z61" i="25" s="1"/>
  <c r="Y304" i="29"/>
  <c r="X304" i="29"/>
  <c r="W304" i="29"/>
  <c r="V304" i="29"/>
  <c r="U304" i="29"/>
  <c r="T304" i="29"/>
  <c r="S304" i="29"/>
  <c r="R304" i="29"/>
  <c r="Q304" i="29"/>
  <c r="P304" i="29"/>
  <c r="N304" i="29" s="1"/>
  <c r="L304" i="29"/>
  <c r="Y300" i="29"/>
  <c r="X300" i="29"/>
  <c r="W300" i="29"/>
  <c r="V300" i="29"/>
  <c r="U300" i="29"/>
  <c r="T300" i="29"/>
  <c r="S300" i="29"/>
  <c r="R300" i="29"/>
  <c r="Q300" i="29"/>
  <c r="P300" i="29"/>
  <c r="N300" i="29" s="1"/>
  <c r="N291" i="29"/>
  <c r="Y287" i="29"/>
  <c r="X287" i="29"/>
  <c r="W287" i="29"/>
  <c r="V287" i="29"/>
  <c r="U287" i="29"/>
  <c r="T287" i="29"/>
  <c r="S287" i="29"/>
  <c r="R287" i="29"/>
  <c r="Q287" i="29"/>
  <c r="AA293" i="29" s="1"/>
  <c r="P287" i="29"/>
  <c r="AA291" i="29" s="1"/>
  <c r="N287" i="29"/>
  <c r="L287" i="29" s="1"/>
  <c r="N282" i="29"/>
  <c r="N278" i="29"/>
  <c r="Y274" i="29"/>
  <c r="X274" i="29"/>
  <c r="W274" i="29"/>
  <c r="V274" i="29"/>
  <c r="U274" i="29"/>
  <c r="T274" i="29"/>
  <c r="S274" i="29"/>
  <c r="R274" i="29"/>
  <c r="Q274" i="29"/>
  <c r="AA282" i="29" s="1"/>
  <c r="P274" i="29"/>
  <c r="AA280" i="29" s="1"/>
  <c r="N274" i="29"/>
  <c r="L274" i="29" s="1"/>
  <c r="N269" i="29"/>
  <c r="N265" i="29"/>
  <c r="N261" i="29" s="1"/>
  <c r="L261" i="29" s="1"/>
  <c r="Y261" i="29"/>
  <c r="X261" i="29"/>
  <c r="W261" i="29"/>
  <c r="V261" i="29"/>
  <c r="U261" i="29"/>
  <c r="T261" i="29"/>
  <c r="S261" i="29"/>
  <c r="R261" i="29"/>
  <c r="Q261" i="29"/>
  <c r="AA269" i="29" s="1"/>
  <c r="P261" i="29"/>
  <c r="AA267" i="29" s="1"/>
  <c r="Z261" i="29" s="1"/>
  <c r="N256" i="29"/>
  <c r="N252" i="29"/>
  <c r="N248" i="29" s="1"/>
  <c r="L248" i="29" s="1"/>
  <c r="Y248" i="29"/>
  <c r="X248" i="29"/>
  <c r="W248" i="29"/>
  <c r="V248" i="29"/>
  <c r="U248" i="29"/>
  <c r="T248" i="29"/>
  <c r="S248" i="29"/>
  <c r="R248" i="29"/>
  <c r="Q248" i="29"/>
  <c r="AA256" i="29" s="1"/>
  <c r="P248" i="29"/>
  <c r="AA254" i="29" s="1"/>
  <c r="Z248" i="29" s="1"/>
  <c r="N243" i="29"/>
  <c r="N239" i="29"/>
  <c r="Y235" i="29"/>
  <c r="X235" i="29"/>
  <c r="W235" i="29"/>
  <c r="V235" i="29"/>
  <c r="U235" i="29"/>
  <c r="T235" i="29"/>
  <c r="S235" i="29"/>
  <c r="R235" i="29"/>
  <c r="Q235" i="29"/>
  <c r="AA243" i="29" s="1"/>
  <c r="P235" i="29"/>
  <c r="AA241" i="29" s="1"/>
  <c r="N235" i="29"/>
  <c r="L235" i="29" s="1"/>
  <c r="N230" i="29"/>
  <c r="N226" i="29"/>
  <c r="Y222" i="29"/>
  <c r="X222" i="29"/>
  <c r="W222" i="29"/>
  <c r="V222" i="29"/>
  <c r="U222" i="29"/>
  <c r="T222" i="29"/>
  <c r="S222" i="29"/>
  <c r="R222" i="29"/>
  <c r="Q222" i="29"/>
  <c r="P222" i="29"/>
  <c r="AA228" i="29" s="1"/>
  <c r="Z222" i="29" s="1"/>
  <c r="N222" i="29"/>
  <c r="L222" i="29" s="1"/>
  <c r="N217" i="29"/>
  <c r="N213" i="29" s="1"/>
  <c r="L213" i="29" s="1"/>
  <c r="Y213" i="29"/>
  <c r="X213" i="29"/>
  <c r="W213" i="29"/>
  <c r="V213" i="29"/>
  <c r="U213" i="29"/>
  <c r="T213" i="29"/>
  <c r="S213" i="29"/>
  <c r="R213" i="29"/>
  <c r="Q213" i="29"/>
  <c r="P213" i="29"/>
  <c r="N208" i="29"/>
  <c r="N204" i="29" s="1"/>
  <c r="L204" i="29" s="1"/>
  <c r="Y204" i="29"/>
  <c r="X204" i="29"/>
  <c r="W204" i="29"/>
  <c r="V204" i="29"/>
  <c r="U204" i="29"/>
  <c r="T204" i="29"/>
  <c r="S204" i="29"/>
  <c r="R204" i="29"/>
  <c r="Q204" i="29"/>
  <c r="P204" i="29"/>
  <c r="N199" i="29"/>
  <c r="N195" i="29"/>
  <c r="N191" i="29" s="1"/>
  <c r="L191" i="29" s="1"/>
  <c r="Y191" i="29"/>
  <c r="X191" i="29"/>
  <c r="W191" i="29"/>
  <c r="V191" i="29"/>
  <c r="U191" i="29"/>
  <c r="T191" i="29"/>
  <c r="S191" i="29"/>
  <c r="R191" i="29"/>
  <c r="Q191" i="29"/>
  <c r="AA199" i="29" s="1"/>
  <c r="P191" i="29"/>
  <c r="AA197" i="29" s="1"/>
  <c r="Z191" i="29" s="1"/>
  <c r="N186" i="29"/>
  <c r="N182" i="29"/>
  <c r="Y178" i="29"/>
  <c r="X178" i="29"/>
  <c r="W178" i="29"/>
  <c r="V178" i="29"/>
  <c r="U178" i="29"/>
  <c r="T178" i="29"/>
  <c r="S178" i="29"/>
  <c r="R178" i="29"/>
  <c r="Q178" i="29"/>
  <c r="AA186" i="29" s="1"/>
  <c r="P178" i="29"/>
  <c r="AA184" i="29" s="1"/>
  <c r="N178" i="29"/>
  <c r="L178" i="29" s="1"/>
  <c r="N173" i="29"/>
  <c r="N169" i="29"/>
  <c r="Y165" i="29"/>
  <c r="X165" i="29"/>
  <c r="W165" i="29"/>
  <c r="V165" i="29"/>
  <c r="U165" i="29"/>
  <c r="T165" i="29"/>
  <c r="S165" i="29"/>
  <c r="R165" i="29"/>
  <c r="Q165" i="29"/>
  <c r="P165" i="29"/>
  <c r="AA171" i="29" s="1"/>
  <c r="Z165" i="29" s="1"/>
  <c r="N165" i="29"/>
  <c r="L165" i="29" s="1"/>
  <c r="N160" i="29"/>
  <c r="N156" i="29"/>
  <c r="Y152" i="29"/>
  <c r="X152" i="29"/>
  <c r="W152" i="29"/>
  <c r="V152" i="29"/>
  <c r="U152" i="29"/>
  <c r="T152" i="29"/>
  <c r="S152" i="29"/>
  <c r="R152" i="29"/>
  <c r="AA162" i="29" s="1"/>
  <c r="Q152" i="29"/>
  <c r="AA160" i="29" s="1"/>
  <c r="P152" i="29"/>
  <c r="AA158" i="29" s="1"/>
  <c r="N152" i="29"/>
  <c r="N147" i="29"/>
  <c r="N143" i="29"/>
  <c r="Y139" i="29"/>
  <c r="X139" i="29"/>
  <c r="W139" i="29"/>
  <c r="V139" i="29"/>
  <c r="U139" i="29"/>
  <c r="T139" i="29"/>
  <c r="S139" i="29"/>
  <c r="R139" i="29"/>
  <c r="AA149" i="29" s="1"/>
  <c r="Q139" i="29"/>
  <c r="AA147" i="29" s="1"/>
  <c r="P139" i="29"/>
  <c r="AA145" i="29" s="1"/>
  <c r="N139" i="29"/>
  <c r="N134" i="29"/>
  <c r="N130" i="29"/>
  <c r="N126" i="29" s="1"/>
  <c r="Y126" i="29"/>
  <c r="X126" i="29"/>
  <c r="W126" i="29"/>
  <c r="V126" i="29"/>
  <c r="U126" i="29"/>
  <c r="T126" i="29"/>
  <c r="S126" i="29"/>
  <c r="R126" i="29"/>
  <c r="Q126" i="29"/>
  <c r="AA134" i="29" s="1"/>
  <c r="P126" i="29"/>
  <c r="AA132" i="29" s="1"/>
  <c r="N121" i="29"/>
  <c r="N117" i="29"/>
  <c r="Y113" i="29"/>
  <c r="X113" i="29"/>
  <c r="W113" i="29"/>
  <c r="V113" i="29"/>
  <c r="U113" i="29"/>
  <c r="T113" i="29"/>
  <c r="S113" i="29"/>
  <c r="R113" i="29"/>
  <c r="Q113" i="29"/>
  <c r="P113" i="29"/>
  <c r="N113" i="29"/>
  <c r="L113" i="29" s="1"/>
  <c r="N108" i="29"/>
  <c r="Y100" i="29"/>
  <c r="X100" i="29"/>
  <c r="W100" i="29"/>
  <c r="V100" i="29"/>
  <c r="U100" i="29"/>
  <c r="T100" i="29"/>
  <c r="S100" i="29"/>
  <c r="R100" i="29"/>
  <c r="Q100" i="29"/>
  <c r="P100" i="29"/>
  <c r="AA106" i="29" s="1"/>
  <c r="Z100" i="29" s="1"/>
  <c r="N100" i="29"/>
  <c r="L100" i="29" s="1"/>
  <c r="N95" i="29"/>
  <c r="N91" i="29"/>
  <c r="Y87" i="29"/>
  <c r="X87" i="29"/>
  <c r="W87" i="29"/>
  <c r="V87" i="29"/>
  <c r="U87" i="29"/>
  <c r="T87" i="29"/>
  <c r="S87" i="29"/>
  <c r="R87" i="29"/>
  <c r="Q87" i="29"/>
  <c r="AA95" i="29" s="1"/>
  <c r="P87" i="29"/>
  <c r="AA93" i="29" s="1"/>
  <c r="N87" i="29"/>
  <c r="N82" i="29"/>
  <c r="N78" i="29"/>
  <c r="N74" i="29" s="1"/>
  <c r="Y74" i="29"/>
  <c r="X74" i="29"/>
  <c r="W74" i="29"/>
  <c r="V74" i="29"/>
  <c r="U74" i="29"/>
  <c r="T74" i="29"/>
  <c r="S74" i="29"/>
  <c r="R74" i="29"/>
  <c r="Q74" i="29"/>
  <c r="P74" i="29"/>
  <c r="AA80" i="29" s="1"/>
  <c r="Z74" i="29" s="1"/>
  <c r="AA69" i="29"/>
  <c r="N69" i="29"/>
  <c r="N65" i="29"/>
  <c r="N61" i="29" s="1"/>
  <c r="Y61" i="29"/>
  <c r="X61" i="29"/>
  <c r="W61" i="29"/>
  <c r="V61" i="29"/>
  <c r="U61" i="29"/>
  <c r="T61" i="29"/>
  <c r="S61" i="29"/>
  <c r="R61" i="29"/>
  <c r="AA71" i="29" s="1"/>
  <c r="Q61" i="29"/>
  <c r="P61" i="29"/>
  <c r="AA67" i="29" s="1"/>
  <c r="Z61" i="29" s="1"/>
  <c r="N56" i="29"/>
  <c r="N52" i="29"/>
  <c r="N48" i="29"/>
  <c r="Y44" i="29"/>
  <c r="X44" i="29"/>
  <c r="W44" i="29"/>
  <c r="V44" i="29"/>
  <c r="U44" i="29"/>
  <c r="T44" i="29"/>
  <c r="S44" i="29"/>
  <c r="R44" i="29"/>
  <c r="AA54" i="29" s="1"/>
  <c r="Q44" i="29"/>
  <c r="AA52" i="29" s="1"/>
  <c r="P44" i="29"/>
  <c r="AA50" i="29" s="1"/>
  <c r="N44" i="29"/>
  <c r="N39" i="29"/>
  <c r="AA35" i="29"/>
  <c r="N35" i="29"/>
  <c r="Z31" i="29"/>
  <c r="Y31" i="29"/>
  <c r="X31" i="29"/>
  <c r="W31" i="29"/>
  <c r="V31" i="29"/>
  <c r="U31" i="29"/>
  <c r="T31" i="29"/>
  <c r="S31" i="29"/>
  <c r="R31" i="29"/>
  <c r="AA41" i="29" s="1"/>
  <c r="Q31" i="29"/>
  <c r="AA39" i="29" s="1"/>
  <c r="P31" i="29"/>
  <c r="AA37" i="29" s="1"/>
  <c r="N31" i="29"/>
  <c r="L31" i="29"/>
  <c r="AA22" i="29"/>
  <c r="N22" i="29"/>
  <c r="Z18" i="29"/>
  <c r="Y18" i="29"/>
  <c r="X18" i="29"/>
  <c r="W18" i="29"/>
  <c r="V18" i="29"/>
  <c r="U18" i="29"/>
  <c r="T18" i="29"/>
  <c r="S18" i="29"/>
  <c r="R18" i="29"/>
  <c r="AA28" i="29" s="1"/>
  <c r="Q18" i="29"/>
  <c r="AA26" i="29" s="1"/>
  <c r="P18" i="29"/>
  <c r="AA24" i="29" s="1"/>
  <c r="N18" i="29"/>
  <c r="L18" i="29"/>
  <c r="T200" i="5"/>
  <c r="T198" i="5"/>
  <c r="N198" i="5"/>
  <c r="S194" i="5"/>
  <c r="R194" i="5"/>
  <c r="Q194" i="5"/>
  <c r="U200" i="5" s="1"/>
  <c r="P194" i="5"/>
  <c r="U198" i="5" s="1"/>
  <c r="N189" i="5"/>
  <c r="T187" i="5"/>
  <c r="T185" i="5"/>
  <c r="N185" i="5"/>
  <c r="S181" i="5"/>
  <c r="R181" i="5"/>
  <c r="Q181" i="5"/>
  <c r="U187" i="5" s="1"/>
  <c r="P181" i="5"/>
  <c r="U185" i="5" s="1"/>
  <c r="G20" i="1"/>
  <c r="S333" i="25"/>
  <c r="T333" i="25"/>
  <c r="U333" i="25"/>
  <c r="V333" i="25"/>
  <c r="W333" i="25"/>
  <c r="X333" i="25"/>
  <c r="Y333" i="25"/>
  <c r="S329" i="25"/>
  <c r="T329" i="25"/>
  <c r="U329" i="25"/>
  <c r="V329" i="25"/>
  <c r="W329" i="25"/>
  <c r="X329" i="25"/>
  <c r="Y329" i="25"/>
  <c r="N320" i="25"/>
  <c r="N316" i="25" s="1"/>
  <c r="L316" i="25" s="1"/>
  <c r="Y316" i="25"/>
  <c r="X316" i="25"/>
  <c r="W316" i="25"/>
  <c r="V316" i="25"/>
  <c r="U316" i="25"/>
  <c r="T316" i="25"/>
  <c r="S316" i="25"/>
  <c r="R316" i="25"/>
  <c r="Q316" i="25"/>
  <c r="AA322" i="25" s="1"/>
  <c r="P316" i="25"/>
  <c r="AA320" i="25" s="1"/>
  <c r="N298" i="25"/>
  <c r="N311" i="25"/>
  <c r="N307" i="25"/>
  <c r="Y303" i="25"/>
  <c r="X303" i="25"/>
  <c r="W303" i="25"/>
  <c r="V303" i="25"/>
  <c r="U303" i="25"/>
  <c r="T303" i="25"/>
  <c r="S303" i="25"/>
  <c r="R303" i="25"/>
  <c r="Q303" i="25"/>
  <c r="AA311" i="25" s="1"/>
  <c r="P303" i="25"/>
  <c r="AA309" i="25" s="1"/>
  <c r="N294" i="25"/>
  <c r="Y290" i="25"/>
  <c r="X290" i="25"/>
  <c r="W290" i="25"/>
  <c r="V290" i="25"/>
  <c r="U290" i="25"/>
  <c r="T290" i="25"/>
  <c r="S290" i="25"/>
  <c r="R290" i="25"/>
  <c r="Q290" i="25"/>
  <c r="AA298" i="25" s="1"/>
  <c r="P290" i="25"/>
  <c r="AA296" i="25" s="1"/>
  <c r="H20" i="1"/>
  <c r="K19" i="30" s="1"/>
  <c r="H51" i="1"/>
  <c r="K22" i="30"/>
  <c r="N296" i="29" l="1"/>
  <c r="Q296" i="29"/>
  <c r="U296" i="29"/>
  <c r="Y296" i="29"/>
  <c r="Z44" i="29"/>
  <c r="R296" i="29"/>
  <c r="V296" i="29"/>
  <c r="S296" i="29"/>
  <c r="W296" i="29"/>
  <c r="Z87" i="29"/>
  <c r="P296" i="29"/>
  <c r="T296" i="29"/>
  <c r="X296" i="29"/>
  <c r="K24" i="30"/>
  <c r="K23" i="30"/>
  <c r="N290" i="25"/>
  <c r="L290" i="25" s="1"/>
  <c r="N329" i="25"/>
  <c r="N325" i="25" s="1"/>
  <c r="N100" i="25"/>
  <c r="Q311" i="5"/>
  <c r="P311" i="5"/>
  <c r="N61" i="25"/>
  <c r="Z74" i="25"/>
  <c r="N74" i="25"/>
  <c r="N87" i="25"/>
  <c r="N303" i="25"/>
  <c r="L303" i="25" s="1"/>
  <c r="Z113" i="25"/>
  <c r="N113" i="25"/>
  <c r="Z100" i="25"/>
  <c r="Z126" i="25"/>
  <c r="Z303" i="25"/>
  <c r="Z290" i="25"/>
  <c r="Z139" i="29"/>
  <c r="Z152" i="29"/>
  <c r="Z178" i="29"/>
  <c r="Z235" i="29"/>
  <c r="L296" i="29"/>
  <c r="Z274" i="29"/>
  <c r="Z287" i="29"/>
  <c r="Z126" i="29"/>
  <c r="AA119" i="29"/>
  <c r="Z113" i="29" s="1"/>
  <c r="N319" i="5"/>
  <c r="N311" i="5" s="1"/>
  <c r="T181" i="5"/>
  <c r="N181" i="5" s="1"/>
  <c r="T194" i="5"/>
  <c r="N194" i="5" s="1"/>
  <c r="Z316" i="25"/>
  <c r="T51" i="3"/>
  <c r="U51" i="3"/>
  <c r="U50" i="3"/>
  <c r="T50" i="3"/>
  <c r="T49" i="3"/>
  <c r="U49" i="3"/>
  <c r="U28" i="2"/>
  <c r="T36" i="2"/>
  <c r="S36" i="2"/>
  <c r="S24" i="2"/>
  <c r="S23" i="2"/>
  <c r="S22" i="2"/>
  <c r="CQ10" i="7"/>
  <c r="CN10" i="7"/>
  <c r="CK10" i="7"/>
  <c r="CH10" i="7"/>
  <c r="CE10" i="7"/>
  <c r="CB10" i="7"/>
  <c r="BY10" i="7"/>
  <c r="BV10" i="7"/>
  <c r="BS10" i="7"/>
  <c r="BP10" i="7"/>
  <c r="BM10" i="7"/>
  <c r="BJ10" i="7"/>
  <c r="BG10" i="7"/>
  <c r="BD10" i="7"/>
  <c r="BA10" i="7"/>
  <c r="CM10" i="8"/>
  <c r="T28" i="2" s="1"/>
  <c r="T26" i="2" s="1"/>
  <c r="H28" i="2"/>
  <c r="G28" i="2"/>
  <c r="G25" i="2"/>
  <c r="AL11" i="7"/>
  <c r="AK11" i="7"/>
  <c r="AJ11" i="7"/>
  <c r="AI11" i="7"/>
  <c r="AH11" i="7"/>
  <c r="AG11" i="7"/>
  <c r="AF11" i="7"/>
  <c r="AE11" i="7"/>
  <c r="AD11" i="7"/>
  <c r="AC11" i="7"/>
  <c r="AB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CM10" i="7"/>
  <c r="CJ10" i="7"/>
  <c r="CG10" i="7"/>
  <c r="CD10" i="7"/>
  <c r="CA10" i="7"/>
  <c r="BX10" i="7"/>
  <c r="BU10" i="7"/>
  <c r="BR10" i="7"/>
  <c r="BO10" i="7"/>
  <c r="BL10" i="7"/>
  <c r="BI10" i="7"/>
  <c r="BF10" i="7"/>
  <c r="P134" i="19"/>
  <c r="P134" i="18"/>
  <c r="P134" i="17"/>
  <c r="P134" i="16"/>
  <c r="P122" i="15"/>
  <c r="W44" i="7"/>
  <c r="U44" i="7"/>
  <c r="P110" i="14"/>
  <c r="L11" i="7" l="1"/>
  <c r="P86" i="9" l="1"/>
  <c r="P98" i="9"/>
  <c r="P110" i="9"/>
  <c r="M38" i="7"/>
  <c r="N28" i="1" l="1"/>
  <c r="J38" i="7"/>
  <c r="J37" i="7"/>
  <c r="J11" i="7"/>
  <c r="L106" i="26" l="1"/>
  <c r="N215" i="5"/>
  <c r="T213" i="5"/>
  <c r="T211" i="5"/>
  <c r="N211" i="5"/>
  <c r="S207" i="5"/>
  <c r="R207" i="5"/>
  <c r="Q207" i="5"/>
  <c r="U213" i="5" s="1"/>
  <c r="P207" i="5"/>
  <c r="U211" i="5" s="1"/>
  <c r="N285" i="25"/>
  <c r="N281" i="25"/>
  <c r="Y277" i="25"/>
  <c r="X277" i="25"/>
  <c r="W277" i="25"/>
  <c r="V277" i="25"/>
  <c r="U277" i="25"/>
  <c r="T277" i="25"/>
  <c r="S277" i="25"/>
  <c r="R277" i="25"/>
  <c r="Q277" i="25"/>
  <c r="P277" i="25"/>
  <c r="N272" i="25"/>
  <c r="N268" i="25"/>
  <c r="Y264" i="25"/>
  <c r="X264" i="25"/>
  <c r="W264" i="25"/>
  <c r="V264" i="25"/>
  <c r="U264" i="25"/>
  <c r="T264" i="25"/>
  <c r="S264" i="25"/>
  <c r="R264" i="25"/>
  <c r="AA274" i="25" s="1"/>
  <c r="Q264" i="25"/>
  <c r="AA272" i="25" s="1"/>
  <c r="P264" i="25"/>
  <c r="AA270" i="25" s="1"/>
  <c r="N7" i="1"/>
  <c r="X44" i="7"/>
  <c r="V44" i="7"/>
  <c r="T44" i="7"/>
  <c r="R44" i="7"/>
  <c r="P44" i="7"/>
  <c r="J44" i="7"/>
  <c r="Z264" i="25" l="1"/>
  <c r="E25" i="30"/>
  <c r="AA283" i="25"/>
  <c r="AA285" i="25"/>
  <c r="N104" i="26"/>
  <c r="N264" i="25"/>
  <c r="L264" i="25" s="1"/>
  <c r="N277" i="25"/>
  <c r="L277" i="25" s="1"/>
  <c r="T207" i="5"/>
  <c r="N207" i="5" s="1"/>
  <c r="T16" i="1"/>
  <c r="S16" i="1"/>
  <c r="R16" i="1"/>
  <c r="Y213" i="25"/>
  <c r="X213" i="25"/>
  <c r="W213" i="25"/>
  <c r="V213" i="25"/>
  <c r="U213" i="25"/>
  <c r="T213" i="25"/>
  <c r="S213" i="25"/>
  <c r="Y165" i="25"/>
  <c r="X165" i="25"/>
  <c r="W165" i="25"/>
  <c r="V165" i="25"/>
  <c r="U165" i="25"/>
  <c r="T165" i="25"/>
  <c r="S165" i="25"/>
  <c r="Y44" i="25"/>
  <c r="X44" i="25"/>
  <c r="W44" i="25"/>
  <c r="V44" i="25"/>
  <c r="U44" i="25"/>
  <c r="T44" i="25"/>
  <c r="S44" i="25"/>
  <c r="Y31" i="25"/>
  <c r="X31" i="25"/>
  <c r="W31" i="25"/>
  <c r="V31" i="25"/>
  <c r="U31" i="25"/>
  <c r="T31" i="25"/>
  <c r="S31" i="25"/>
  <c r="Y18" i="25"/>
  <c r="X18" i="25"/>
  <c r="W18" i="25"/>
  <c r="V18" i="25"/>
  <c r="U18" i="25"/>
  <c r="T18" i="25"/>
  <c r="S18" i="25"/>
  <c r="N92" i="26"/>
  <c r="N9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Z61" i="26"/>
  <c r="Y61" i="26"/>
  <c r="X61" i="26"/>
  <c r="W61" i="26"/>
  <c r="V61" i="26"/>
  <c r="U61" i="26"/>
  <c r="T61" i="26"/>
  <c r="S61" i="26"/>
  <c r="R61" i="26"/>
  <c r="Q61" i="26"/>
  <c r="P61" i="26"/>
  <c r="N61" i="26"/>
  <c r="N173" i="25"/>
  <c r="N169" i="25"/>
  <c r="R165" i="25"/>
  <c r="Q165" i="25"/>
  <c r="P165" i="25"/>
  <c r="AA171" i="25" s="1"/>
  <c r="N220" i="25"/>
  <c r="N217" i="25"/>
  <c r="R213" i="25"/>
  <c r="Q213" i="25"/>
  <c r="P213" i="25"/>
  <c r="N176" i="5"/>
  <c r="T170" i="5"/>
  <c r="T168" i="5"/>
  <c r="N168" i="5"/>
  <c r="S164" i="5"/>
  <c r="R164" i="5"/>
  <c r="Q164" i="5"/>
  <c r="P164" i="5"/>
  <c r="U168" i="5" s="1"/>
  <c r="T135" i="5"/>
  <c r="T133" i="5"/>
  <c r="N133" i="5"/>
  <c r="T131" i="5"/>
  <c r="T129" i="5"/>
  <c r="N129" i="5"/>
  <c r="S125" i="5"/>
  <c r="U135" i="5" s="1"/>
  <c r="R125" i="5"/>
  <c r="U133" i="5" s="1"/>
  <c r="Q125" i="5"/>
  <c r="U131" i="5" s="1"/>
  <c r="P125" i="5"/>
  <c r="U129" i="5" s="1"/>
  <c r="T105" i="5"/>
  <c r="T103" i="5"/>
  <c r="N107" i="5"/>
  <c r="T101" i="5"/>
  <c r="T99" i="5"/>
  <c r="S95" i="5"/>
  <c r="U105" i="5" s="1"/>
  <c r="R95" i="5"/>
  <c r="U103" i="5" s="1"/>
  <c r="Q95" i="5"/>
  <c r="U101" i="5" s="1"/>
  <c r="P95" i="5"/>
  <c r="U99" i="5" s="1"/>
  <c r="W12" i="1"/>
  <c r="X12" i="1" s="1"/>
  <c r="Y12" i="1" s="1"/>
  <c r="N52" i="26"/>
  <c r="Z48" i="26"/>
  <c r="Y48" i="26"/>
  <c r="X48" i="26"/>
  <c r="W48" i="26"/>
  <c r="V48" i="26"/>
  <c r="U48" i="26"/>
  <c r="T48" i="26"/>
  <c r="S48" i="26"/>
  <c r="R48" i="26"/>
  <c r="Q48" i="26"/>
  <c r="P48" i="26"/>
  <c r="N48" i="26"/>
  <c r="Y11" i="1"/>
  <c r="X11" i="1"/>
  <c r="W11" i="1"/>
  <c r="N159" i="5"/>
  <c r="T157" i="5"/>
  <c r="T155" i="5"/>
  <c r="N155" i="5"/>
  <c r="S151" i="5"/>
  <c r="R151" i="5"/>
  <c r="Q151" i="5"/>
  <c r="U157" i="5" s="1"/>
  <c r="P151" i="5"/>
  <c r="U155" i="5" s="1"/>
  <c r="Y78" i="1"/>
  <c r="Y62" i="1"/>
  <c r="Y48" i="1"/>
  <c r="Y46" i="1" s="1"/>
  <c r="Y32" i="1"/>
  <c r="Y30" i="1"/>
  <c r="Y18" i="1"/>
  <c r="Y17" i="1" s="1"/>
  <c r="X78" i="1"/>
  <c r="X62" i="1"/>
  <c r="X48" i="1"/>
  <c r="X46" i="1" s="1"/>
  <c r="X32" i="1"/>
  <c r="X30" i="1"/>
  <c r="X18" i="1"/>
  <c r="X17" i="1" s="1"/>
  <c r="W78" i="1"/>
  <c r="W62" i="1"/>
  <c r="W48" i="1"/>
  <c r="W46" i="1" s="1"/>
  <c r="W32" i="1"/>
  <c r="W30" i="1"/>
  <c r="W18" i="1"/>
  <c r="W17" i="1" s="1"/>
  <c r="V78" i="1"/>
  <c r="V48" i="1"/>
  <c r="V46" i="1" s="1"/>
  <c r="V32" i="1"/>
  <c r="V30" i="1"/>
  <c r="V18" i="1"/>
  <c r="V17" i="1" s="1"/>
  <c r="U78" i="1"/>
  <c r="U48" i="1"/>
  <c r="U46" i="1" s="1"/>
  <c r="U32" i="1"/>
  <c r="U30" i="1"/>
  <c r="U18" i="1"/>
  <c r="X50" i="3"/>
  <c r="X42" i="3"/>
  <c r="W50" i="3"/>
  <c r="W42" i="3"/>
  <c r="V50" i="3"/>
  <c r="V42" i="3"/>
  <c r="T42" i="3"/>
  <c r="U42" i="3"/>
  <c r="Z277" i="25" l="1"/>
  <c r="Z213" i="25"/>
  <c r="U170" i="5"/>
  <c r="Q323" i="5"/>
  <c r="N87" i="26"/>
  <c r="BL30" i="7"/>
  <c r="BO30" i="7"/>
  <c r="BI30" i="7"/>
  <c r="BR30" i="7"/>
  <c r="BF30" i="7"/>
  <c r="T325" i="25"/>
  <c r="V325" i="25"/>
  <c r="X325" i="25"/>
  <c r="S325" i="25"/>
  <c r="U325" i="25"/>
  <c r="W325" i="25"/>
  <c r="Y325" i="25"/>
  <c r="T151" i="5"/>
  <c r="N151" i="5" s="1"/>
  <c r="L151" i="5" s="1"/>
  <c r="N99" i="5"/>
  <c r="T95" i="5"/>
  <c r="N95" i="5" s="1"/>
  <c r="N100" i="26"/>
  <c r="N213" i="25"/>
  <c r="L213" i="25" s="1"/>
  <c r="N165" i="25"/>
  <c r="L165" i="25" s="1"/>
  <c r="Z165" i="25"/>
  <c r="T164" i="5"/>
  <c r="N164" i="5" s="1"/>
  <c r="T125" i="5"/>
  <c r="N125" i="5" s="1"/>
  <c r="P220" i="28"/>
  <c r="D219" i="28"/>
  <c r="T189" i="28" s="1"/>
  <c r="D218" i="28"/>
  <c r="D217" i="28"/>
  <c r="D216" i="28"/>
  <c r="D215" i="28"/>
  <c r="D214" i="28"/>
  <c r="D213" i="28"/>
  <c r="D212" i="28"/>
  <c r="D211" i="28"/>
  <c r="D210" i="28"/>
  <c r="D209" i="28"/>
  <c r="T198" i="28"/>
  <c r="T180" i="28"/>
  <c r="T170" i="28"/>
  <c r="T166" i="28"/>
  <c r="T162" i="28"/>
  <c r="T157" i="28"/>
  <c r="T153" i="28"/>
  <c r="T149" i="28"/>
  <c r="D148" i="28"/>
  <c r="T146" i="28"/>
  <c r="T142" i="28"/>
  <c r="T138" i="28"/>
  <c r="T133" i="28"/>
  <c r="T129" i="28"/>
  <c r="T125" i="28"/>
  <c r="T120" i="28"/>
  <c r="T116" i="28"/>
  <c r="T113" i="28"/>
  <c r="T110" i="28"/>
  <c r="T108" i="28"/>
  <c r="T106" i="28"/>
  <c r="T104" i="28"/>
  <c r="T102" i="28"/>
  <c r="T15" i="28"/>
  <c r="T13" i="28"/>
  <c r="T11" i="28"/>
  <c r="T9" i="28"/>
  <c r="T7" i="28"/>
  <c r="T5" i="28"/>
  <c r="D5" i="28"/>
  <c r="D6" i="28" s="1"/>
  <c r="D7" i="28" s="1"/>
  <c r="D8" i="28" s="1"/>
  <c r="D9" i="28" s="1"/>
  <c r="D10" i="28" s="1"/>
  <c r="D11" i="28" s="1"/>
  <c r="D12" i="28" s="1"/>
  <c r="D13" i="28" s="1"/>
  <c r="D14" i="28" s="1"/>
  <c r="D15" i="28" s="1"/>
  <c r="T4" i="28"/>
  <c r="F10" i="7"/>
  <c r="E10" i="7"/>
  <c r="AR11" i="7"/>
  <c r="AQ11" i="7"/>
  <c r="AP11" i="7"/>
  <c r="AO11" i="7"/>
  <c r="AN11" i="7"/>
  <c r="AM11" i="7"/>
  <c r="K11" i="7"/>
  <c r="I11" i="7"/>
  <c r="H11" i="7"/>
  <c r="G11" i="7"/>
  <c r="F25" i="2"/>
  <c r="CX29" i="8"/>
  <c r="CX28" i="8"/>
  <c r="CX27" i="8"/>
  <c r="CW26" i="8"/>
  <c r="CV26" i="8"/>
  <c r="CW25" i="8"/>
  <c r="CV25" i="8"/>
  <c r="CU29" i="8"/>
  <c r="T24" i="2" s="1"/>
  <c r="CU28" i="8"/>
  <c r="T23" i="2" s="1"/>
  <c r="CU27" i="8"/>
  <c r="T22" i="2" s="1"/>
  <c r="CT26" i="8"/>
  <c r="CS26" i="8"/>
  <c r="CT25" i="8"/>
  <c r="CS25" i="8"/>
  <c r="CR29" i="8"/>
  <c r="CR28" i="8"/>
  <c r="CR27" i="8"/>
  <c r="CQ26" i="8"/>
  <c r="CP26" i="8"/>
  <c r="CQ25" i="8"/>
  <c r="CP25" i="8"/>
  <c r="CO29" i="8"/>
  <c r="CO28" i="8"/>
  <c r="CO27" i="8"/>
  <c r="CN26" i="8"/>
  <c r="CM26" i="8"/>
  <c r="CN25" i="8"/>
  <c r="CM25" i="8"/>
  <c r="CK26" i="8"/>
  <c r="CJ26" i="8"/>
  <c r="CK25" i="8"/>
  <c r="CJ25" i="8"/>
  <c r="CG29" i="7"/>
  <c r="CG28" i="7"/>
  <c r="CG27" i="7"/>
  <c r="AR57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R45" i="8"/>
  <c r="AQ45" i="8"/>
  <c r="AR44" i="8"/>
  <c r="AQ44" i="8"/>
  <c r="AR43" i="8"/>
  <c r="AQ43" i="8"/>
  <c r="AR40" i="8"/>
  <c r="AQ40" i="8"/>
  <c r="AR39" i="8"/>
  <c r="AQ39" i="8"/>
  <c r="AR38" i="8"/>
  <c r="AQ38" i="8"/>
  <c r="AR37" i="8"/>
  <c r="AQ37" i="8"/>
  <c r="AR36" i="8"/>
  <c r="AQ36" i="8"/>
  <c r="AQ30" i="8"/>
  <c r="AR29" i="8"/>
  <c r="AQ29" i="8"/>
  <c r="AR28" i="8"/>
  <c r="AQ28" i="8"/>
  <c r="AR27" i="8"/>
  <c r="AQ27" i="8"/>
  <c r="AR24" i="8"/>
  <c r="AQ24" i="8"/>
  <c r="AR23" i="8"/>
  <c r="AQ23" i="8"/>
  <c r="AR22" i="8"/>
  <c r="AQ22" i="8"/>
  <c r="AR21" i="8"/>
  <c r="AQ21" i="8"/>
  <c r="AR20" i="8"/>
  <c r="AQ20" i="8"/>
  <c r="AR19" i="8"/>
  <c r="AQ19" i="8"/>
  <c r="AR18" i="8"/>
  <c r="AQ18" i="8"/>
  <c r="AR17" i="8"/>
  <c r="AQ17" i="8"/>
  <c r="AR16" i="8"/>
  <c r="AQ16" i="8"/>
  <c r="AR15" i="8"/>
  <c r="AQ15" i="8"/>
  <c r="AR14" i="8"/>
  <c r="AQ14" i="8"/>
  <c r="AQ31" i="8" s="1"/>
  <c r="AR10" i="8"/>
  <c r="AQ10" i="8"/>
  <c r="AR9" i="8"/>
  <c r="AQ9" i="8"/>
  <c r="AR8" i="8"/>
  <c r="AQ8" i="8"/>
  <c r="AR7" i="8"/>
  <c r="AQ7" i="8"/>
  <c r="AR6" i="8"/>
  <c r="AR11" i="8" s="1"/>
  <c r="AQ6" i="8"/>
  <c r="AP57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P45" i="8"/>
  <c r="AO45" i="8"/>
  <c r="AP44" i="8"/>
  <c r="AO44" i="8"/>
  <c r="AP43" i="8"/>
  <c r="AO43" i="8"/>
  <c r="AP40" i="8"/>
  <c r="AO40" i="8"/>
  <c r="AP39" i="8"/>
  <c r="AO39" i="8"/>
  <c r="AP38" i="8"/>
  <c r="AO38" i="8"/>
  <c r="AP37" i="8"/>
  <c r="AO37" i="8"/>
  <c r="AP36" i="8"/>
  <c r="AO36" i="8"/>
  <c r="AO30" i="8"/>
  <c r="AP29" i="8"/>
  <c r="AO29" i="8"/>
  <c r="AP28" i="8"/>
  <c r="AO28" i="8"/>
  <c r="AP27" i="8"/>
  <c r="AO27" i="8"/>
  <c r="AP24" i="8"/>
  <c r="AO24" i="8"/>
  <c r="AP23" i="8"/>
  <c r="AO23" i="8"/>
  <c r="AP22" i="8"/>
  <c r="AO22" i="8"/>
  <c r="AP21" i="8"/>
  <c r="AO21" i="8"/>
  <c r="AP20" i="8"/>
  <c r="AO20" i="8"/>
  <c r="AP19" i="8"/>
  <c r="AO19" i="8"/>
  <c r="AP18" i="8"/>
  <c r="AO18" i="8"/>
  <c r="AP17" i="8"/>
  <c r="AO17" i="8"/>
  <c r="AP16" i="8"/>
  <c r="AO16" i="8"/>
  <c r="AP15" i="8"/>
  <c r="AO15" i="8"/>
  <c r="AP14" i="8"/>
  <c r="AO14" i="8"/>
  <c r="AO31" i="8" s="1"/>
  <c r="AP10" i="8"/>
  <c r="AO10" i="8"/>
  <c r="AP9" i="8"/>
  <c r="AO9" i="8"/>
  <c r="AP8" i="8"/>
  <c r="AO8" i="8"/>
  <c r="AP7" i="8"/>
  <c r="AO7" i="8"/>
  <c r="AP6" i="8"/>
  <c r="AP11" i="8" s="1"/>
  <c r="AO6" i="8"/>
  <c r="AN57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N45" i="8"/>
  <c r="AM45" i="8"/>
  <c r="AN44" i="8"/>
  <c r="AM44" i="8"/>
  <c r="AN43" i="8"/>
  <c r="AM43" i="8"/>
  <c r="AN40" i="8"/>
  <c r="AM40" i="8"/>
  <c r="AN39" i="8"/>
  <c r="AM39" i="8"/>
  <c r="AN38" i="8"/>
  <c r="AM38" i="8"/>
  <c r="AN37" i="8"/>
  <c r="AM37" i="8"/>
  <c r="AN36" i="8"/>
  <c r="AM36" i="8"/>
  <c r="AM30" i="8"/>
  <c r="AN29" i="8"/>
  <c r="AM29" i="8"/>
  <c r="AN28" i="8"/>
  <c r="AM28" i="8"/>
  <c r="AN27" i="8"/>
  <c r="AM27" i="8"/>
  <c r="AN24" i="8"/>
  <c r="AM24" i="8"/>
  <c r="AN23" i="8"/>
  <c r="AM23" i="8"/>
  <c r="AN22" i="8"/>
  <c r="AM22" i="8"/>
  <c r="AN21" i="8"/>
  <c r="AM21" i="8"/>
  <c r="AN20" i="8"/>
  <c r="AM20" i="8"/>
  <c r="AN19" i="8"/>
  <c r="AM19" i="8"/>
  <c r="AN18" i="8"/>
  <c r="AM18" i="8"/>
  <c r="AN17" i="8"/>
  <c r="AM17" i="8"/>
  <c r="AN16" i="8"/>
  <c r="AM16" i="8"/>
  <c r="AN15" i="8"/>
  <c r="AM15" i="8"/>
  <c r="AN14" i="8"/>
  <c r="AM14" i="8"/>
  <c r="AM31" i="8" s="1"/>
  <c r="AN10" i="8"/>
  <c r="AM10" i="8"/>
  <c r="AN9" i="8"/>
  <c r="AM9" i="8"/>
  <c r="AN8" i="8"/>
  <c r="AM8" i="8"/>
  <c r="AN7" i="8"/>
  <c r="AM7" i="8"/>
  <c r="AN6" i="8"/>
  <c r="AN11" i="8" s="1"/>
  <c r="AM6" i="8"/>
  <c r="AL57" i="8"/>
  <c r="AK57" i="8"/>
  <c r="AK56" i="8"/>
  <c r="AK55" i="8"/>
  <c r="AK54" i="8"/>
  <c r="AK53" i="8"/>
  <c r="AK52" i="8"/>
  <c r="AK51" i="8"/>
  <c r="AK50" i="8"/>
  <c r="AK49" i="8"/>
  <c r="AK48" i="8"/>
  <c r="AK47" i="8"/>
  <c r="AK46" i="8"/>
  <c r="AL45" i="8"/>
  <c r="AK45" i="8"/>
  <c r="AL44" i="8"/>
  <c r="AK44" i="8"/>
  <c r="X34" i="3" s="1"/>
  <c r="AL43" i="8"/>
  <c r="AK43" i="8"/>
  <c r="AL40" i="8"/>
  <c r="AK40" i="8"/>
  <c r="X32" i="3" s="1"/>
  <c r="AL39" i="8"/>
  <c r="AK39" i="8"/>
  <c r="X31" i="3" s="1"/>
  <c r="AL38" i="8"/>
  <c r="AK38" i="8"/>
  <c r="X30" i="3" s="1"/>
  <c r="AL37" i="8"/>
  <c r="AK37" i="8"/>
  <c r="X29" i="3" s="1"/>
  <c r="AL36" i="8"/>
  <c r="AK36" i="8"/>
  <c r="AK30" i="8"/>
  <c r="U21" i="3" s="1"/>
  <c r="AL29" i="8"/>
  <c r="X24" i="3" s="1"/>
  <c r="AK29" i="8"/>
  <c r="W24" i="3" s="1"/>
  <c r="AL28" i="8"/>
  <c r="X23" i="3" s="1"/>
  <c r="AK28" i="8"/>
  <c r="W23" i="3" s="1"/>
  <c r="AL27" i="8"/>
  <c r="X22" i="3" s="1"/>
  <c r="AK27" i="8"/>
  <c r="W22" i="3" s="1"/>
  <c r="AL24" i="8"/>
  <c r="AK24" i="8"/>
  <c r="X19" i="3" s="1"/>
  <c r="AL23" i="8"/>
  <c r="AK23" i="8"/>
  <c r="X18" i="3" s="1"/>
  <c r="AL22" i="8"/>
  <c r="AK22" i="8"/>
  <c r="X17" i="3" s="1"/>
  <c r="AL21" i="8"/>
  <c r="AK21" i="8"/>
  <c r="X16" i="3" s="1"/>
  <c r="AL20" i="8"/>
  <c r="AK20" i="8"/>
  <c r="X15" i="3" s="1"/>
  <c r="AL19" i="8"/>
  <c r="AK19" i="8"/>
  <c r="X14" i="3" s="1"/>
  <c r="AL18" i="8"/>
  <c r="AK18" i="8"/>
  <c r="X13" i="3" s="1"/>
  <c r="AL17" i="8"/>
  <c r="AK17" i="8"/>
  <c r="X12" i="3" s="1"/>
  <c r="AL16" i="8"/>
  <c r="AK16" i="8"/>
  <c r="X11" i="3" s="1"/>
  <c r="AL15" i="8"/>
  <c r="AK15" i="8"/>
  <c r="X10" i="3" s="1"/>
  <c r="AL14" i="8"/>
  <c r="AK14" i="8"/>
  <c r="AL10" i="8"/>
  <c r="AL9" i="8"/>
  <c r="AK9" i="8"/>
  <c r="AL8" i="8"/>
  <c r="AK8" i="8"/>
  <c r="AL7" i="8"/>
  <c r="AK7" i="8"/>
  <c r="AL6" i="8"/>
  <c r="AK6" i="8"/>
  <c r="AK11" i="8" s="1"/>
  <c r="AJ57" i="8"/>
  <c r="AI57" i="8"/>
  <c r="AI56" i="8"/>
  <c r="AI55" i="8"/>
  <c r="AI54" i="8"/>
  <c r="AI53" i="8"/>
  <c r="AI52" i="8"/>
  <c r="AI51" i="8"/>
  <c r="AI50" i="8"/>
  <c r="AI49" i="8"/>
  <c r="AI48" i="8"/>
  <c r="AI47" i="8"/>
  <c r="AI46" i="8"/>
  <c r="AJ45" i="8"/>
  <c r="AI45" i="8"/>
  <c r="AJ44" i="8"/>
  <c r="W34" i="3" s="1"/>
  <c r="AI44" i="8"/>
  <c r="V34" i="3" s="1"/>
  <c r="AJ43" i="8"/>
  <c r="AI43" i="8"/>
  <c r="AJ40" i="8"/>
  <c r="W32" i="3" s="1"/>
  <c r="AI40" i="8"/>
  <c r="V32" i="3" s="1"/>
  <c r="AJ39" i="8"/>
  <c r="W31" i="3" s="1"/>
  <c r="AI39" i="8"/>
  <c r="V31" i="3" s="1"/>
  <c r="AJ38" i="8"/>
  <c r="W30" i="3" s="1"/>
  <c r="AI38" i="8"/>
  <c r="V30" i="3" s="1"/>
  <c r="AJ37" i="8"/>
  <c r="W29" i="3" s="1"/>
  <c r="AI37" i="8"/>
  <c r="V29" i="3" s="1"/>
  <c r="AJ36" i="8"/>
  <c r="AI36" i="8"/>
  <c r="AI30" i="8"/>
  <c r="AJ29" i="8"/>
  <c r="V24" i="3" s="1"/>
  <c r="AI29" i="8"/>
  <c r="U24" i="3" s="1"/>
  <c r="AJ28" i="8"/>
  <c r="V23" i="3" s="1"/>
  <c r="AI28" i="8"/>
  <c r="U23" i="3" s="1"/>
  <c r="AJ27" i="8"/>
  <c r="V22" i="3" s="1"/>
  <c r="AI27" i="8"/>
  <c r="U22" i="3" s="1"/>
  <c r="AJ24" i="8"/>
  <c r="W19" i="3" s="1"/>
  <c r="AI24" i="8"/>
  <c r="V19" i="3" s="1"/>
  <c r="AJ23" i="8"/>
  <c r="W18" i="3" s="1"/>
  <c r="AI23" i="8"/>
  <c r="V18" i="3" s="1"/>
  <c r="AJ22" i="8"/>
  <c r="W17" i="3" s="1"/>
  <c r="AI22" i="8"/>
  <c r="V17" i="3" s="1"/>
  <c r="AJ21" i="8"/>
  <c r="W16" i="3" s="1"/>
  <c r="AI21" i="8"/>
  <c r="V16" i="3" s="1"/>
  <c r="AJ20" i="8"/>
  <c r="W15" i="3" s="1"/>
  <c r="AI20" i="8"/>
  <c r="V15" i="3" s="1"/>
  <c r="AJ19" i="8"/>
  <c r="W14" i="3" s="1"/>
  <c r="AI19" i="8"/>
  <c r="V14" i="3" s="1"/>
  <c r="AJ18" i="8"/>
  <c r="W13" i="3" s="1"/>
  <c r="AI18" i="8"/>
  <c r="V13" i="3" s="1"/>
  <c r="AJ17" i="8"/>
  <c r="W12" i="3" s="1"/>
  <c r="AI17" i="8"/>
  <c r="V12" i="3" s="1"/>
  <c r="AJ16" i="8"/>
  <c r="W11" i="3" s="1"/>
  <c r="AI16" i="8"/>
  <c r="V11" i="3" s="1"/>
  <c r="AJ15" i="8"/>
  <c r="W10" i="3" s="1"/>
  <c r="AI15" i="8"/>
  <c r="V10" i="3" s="1"/>
  <c r="AJ14" i="8"/>
  <c r="W9" i="3" s="1"/>
  <c r="AI14" i="8"/>
  <c r="AJ10" i="8"/>
  <c r="AI10" i="8"/>
  <c r="CJ10" i="8" s="1"/>
  <c r="S28" i="2" s="1"/>
  <c r="S26" i="2" s="1"/>
  <c r="AJ9" i="8"/>
  <c r="AI9" i="8"/>
  <c r="AJ8" i="8"/>
  <c r="AI8" i="8"/>
  <c r="AJ7" i="8"/>
  <c r="AI7" i="8"/>
  <c r="AJ6" i="8"/>
  <c r="AJ11" i="8" s="1"/>
  <c r="AI6" i="8"/>
  <c r="AI11" i="8" s="1"/>
  <c r="T26" i="3" s="1"/>
  <c r="CV30" i="7"/>
  <c r="CS30" i="7"/>
  <c r="CP30" i="7"/>
  <c r="CM30" i="7"/>
  <c r="CJ30" i="7"/>
  <c r="CG30" i="7"/>
  <c r="CD30" i="7"/>
  <c r="CA30" i="7"/>
  <c r="BX30" i="7"/>
  <c r="BU30" i="7"/>
  <c r="BC30" i="7"/>
  <c r="CV56" i="7"/>
  <c r="CV55" i="7"/>
  <c r="CV54" i="7"/>
  <c r="CV53" i="7"/>
  <c r="CV52" i="7"/>
  <c r="CV51" i="7"/>
  <c r="CV50" i="7"/>
  <c r="CV49" i="7"/>
  <c r="CV48" i="7"/>
  <c r="CV47" i="7"/>
  <c r="CV46" i="7"/>
  <c r="CW44" i="7"/>
  <c r="CV44" i="7"/>
  <c r="CW40" i="7"/>
  <c r="CV40" i="7"/>
  <c r="CW39" i="7"/>
  <c r="CV39" i="7"/>
  <c r="CW38" i="7"/>
  <c r="CV38" i="7"/>
  <c r="CW37" i="7"/>
  <c r="CV37" i="7"/>
  <c r="CW36" i="7"/>
  <c r="CV36" i="7"/>
  <c r="CX29" i="7"/>
  <c r="CX28" i="7"/>
  <c r="CX27" i="7"/>
  <c r="CW26" i="7"/>
  <c r="CV26" i="7"/>
  <c r="CW25" i="7"/>
  <c r="CV25" i="7"/>
  <c r="CW24" i="7"/>
  <c r="CV24" i="7"/>
  <c r="CW23" i="7"/>
  <c r="CV23" i="7"/>
  <c r="CW22" i="7"/>
  <c r="CV22" i="7"/>
  <c r="CW21" i="7"/>
  <c r="CV21" i="7"/>
  <c r="CW20" i="7"/>
  <c r="CV20" i="7"/>
  <c r="CW19" i="7"/>
  <c r="CV19" i="7"/>
  <c r="CW18" i="7"/>
  <c r="CV18" i="7"/>
  <c r="CW17" i="7"/>
  <c r="CV17" i="7"/>
  <c r="CW16" i="7"/>
  <c r="CV16" i="7"/>
  <c r="CW15" i="7"/>
  <c r="CV15" i="7"/>
  <c r="CW14" i="7"/>
  <c r="CV14" i="7"/>
  <c r="CV31" i="7" s="1"/>
  <c r="CW10" i="7"/>
  <c r="CW9" i="7"/>
  <c r="CV9" i="7"/>
  <c r="CW8" i="7"/>
  <c r="CV8" i="7"/>
  <c r="CW7" i="7"/>
  <c r="CV7" i="7"/>
  <c r="CW6" i="7"/>
  <c r="CV6" i="7"/>
  <c r="CV11" i="7" s="1"/>
  <c r="CS56" i="7"/>
  <c r="CS55" i="7"/>
  <c r="CS54" i="7"/>
  <c r="CS53" i="7"/>
  <c r="CS52" i="7"/>
  <c r="CS51" i="7"/>
  <c r="CS50" i="7"/>
  <c r="CS49" i="7"/>
  <c r="CS48" i="7"/>
  <c r="CS47" i="7"/>
  <c r="CS46" i="7"/>
  <c r="CT44" i="7"/>
  <c r="CS44" i="7"/>
  <c r="CU44" i="7" s="1"/>
  <c r="CT40" i="7"/>
  <c r="CS40" i="7"/>
  <c r="CU40" i="7" s="1"/>
  <c r="CT39" i="7"/>
  <c r="CS39" i="7"/>
  <c r="CU39" i="7" s="1"/>
  <c r="CT38" i="7"/>
  <c r="CS38" i="7"/>
  <c r="CU38" i="7" s="1"/>
  <c r="CT37" i="7"/>
  <c r="CS37" i="7"/>
  <c r="CU37" i="7" s="1"/>
  <c r="CT36" i="7"/>
  <c r="CS36" i="7"/>
  <c r="CU36" i="7" s="1"/>
  <c r="CU29" i="7"/>
  <c r="CU28" i="7"/>
  <c r="CU27" i="7"/>
  <c r="CT26" i="7"/>
  <c r="CS26" i="7"/>
  <c r="CT25" i="7"/>
  <c r="CS25" i="7"/>
  <c r="CT24" i="7"/>
  <c r="CS24" i="7"/>
  <c r="CT23" i="7"/>
  <c r="CS23" i="7"/>
  <c r="CT22" i="7"/>
  <c r="CS22" i="7"/>
  <c r="CT21" i="7"/>
  <c r="CS21" i="7"/>
  <c r="CT20" i="7"/>
  <c r="CS20" i="7"/>
  <c r="CT19" i="7"/>
  <c r="CS19" i="7"/>
  <c r="CT18" i="7"/>
  <c r="CS18" i="7"/>
  <c r="CT17" i="7"/>
  <c r="CS17" i="7"/>
  <c r="CT16" i="7"/>
  <c r="CS16" i="7"/>
  <c r="CT15" i="7"/>
  <c r="CS15" i="7"/>
  <c r="CT14" i="7"/>
  <c r="CS14" i="7"/>
  <c r="CT10" i="7"/>
  <c r="CT9" i="7"/>
  <c r="CS9" i="7"/>
  <c r="CU9" i="7" s="1"/>
  <c r="CT8" i="7"/>
  <c r="CS8" i="7"/>
  <c r="CU8" i="7" s="1"/>
  <c r="CT7" i="7"/>
  <c r="CS7" i="7"/>
  <c r="CU7" i="7" s="1"/>
  <c r="CT6" i="7"/>
  <c r="CS6" i="7"/>
  <c r="CP56" i="7"/>
  <c r="CP55" i="7"/>
  <c r="CP54" i="7"/>
  <c r="CP53" i="7"/>
  <c r="CP52" i="7"/>
  <c r="CP51" i="7"/>
  <c r="CP50" i="7"/>
  <c r="CP49" i="7"/>
  <c r="CP48" i="7"/>
  <c r="CP47" i="7"/>
  <c r="CP46" i="7"/>
  <c r="CQ44" i="7"/>
  <c r="CP44" i="7"/>
  <c r="CQ40" i="7"/>
  <c r="CP40" i="7"/>
  <c r="CQ39" i="7"/>
  <c r="CP39" i="7"/>
  <c r="CQ38" i="7"/>
  <c r="CP38" i="7"/>
  <c r="CQ37" i="7"/>
  <c r="CP37" i="7"/>
  <c r="CQ36" i="7"/>
  <c r="CP36" i="7"/>
  <c r="CR29" i="7"/>
  <c r="CR28" i="7"/>
  <c r="CR27" i="7"/>
  <c r="CQ26" i="7"/>
  <c r="CP26" i="7"/>
  <c r="CQ25" i="7"/>
  <c r="CP25" i="7"/>
  <c r="CQ24" i="7"/>
  <c r="CP24" i="7"/>
  <c r="CQ23" i="7"/>
  <c r="CP23" i="7"/>
  <c r="CQ22" i="7"/>
  <c r="CP22" i="7"/>
  <c r="CQ21" i="7"/>
  <c r="CP21" i="7"/>
  <c r="CQ20" i="7"/>
  <c r="CP20" i="7"/>
  <c r="CQ19" i="7"/>
  <c r="CP19" i="7"/>
  <c r="CQ18" i="7"/>
  <c r="CP18" i="7"/>
  <c r="CQ17" i="7"/>
  <c r="CP17" i="7"/>
  <c r="CQ16" i="7"/>
  <c r="CP16" i="7"/>
  <c r="CQ15" i="7"/>
  <c r="CP15" i="7"/>
  <c r="CQ14" i="7"/>
  <c r="CP14" i="7"/>
  <c r="CQ9" i="7"/>
  <c r="CP9" i="7"/>
  <c r="CQ8" i="7"/>
  <c r="CP8" i="7"/>
  <c r="CQ7" i="7"/>
  <c r="CP7" i="7"/>
  <c r="CQ6" i="7"/>
  <c r="CQ11" i="7" s="1"/>
  <c r="CP6" i="7"/>
  <c r="CM56" i="7"/>
  <c r="CM55" i="7"/>
  <c r="CM54" i="7"/>
  <c r="CM53" i="7"/>
  <c r="CM52" i="7"/>
  <c r="CM51" i="7"/>
  <c r="CM50" i="7"/>
  <c r="CM49" i="7"/>
  <c r="CM48" i="7"/>
  <c r="CM47" i="7"/>
  <c r="CM46" i="7"/>
  <c r="CN44" i="7"/>
  <c r="CM44" i="7"/>
  <c r="CN40" i="7"/>
  <c r="CM40" i="7"/>
  <c r="CN39" i="7"/>
  <c r="CM39" i="7"/>
  <c r="CN38" i="7"/>
  <c r="CM38" i="7"/>
  <c r="CN37" i="7"/>
  <c r="CM37" i="7"/>
  <c r="CN36" i="7"/>
  <c r="CM36" i="7"/>
  <c r="CO29" i="7"/>
  <c r="CO28" i="7"/>
  <c r="CO27" i="7"/>
  <c r="CN26" i="7"/>
  <c r="CM26" i="7"/>
  <c r="CO26" i="7" s="1"/>
  <c r="CN25" i="7"/>
  <c r="CM25" i="7"/>
  <c r="CO25" i="7" s="1"/>
  <c r="CN24" i="7"/>
  <c r="CM24" i="7"/>
  <c r="CO24" i="7" s="1"/>
  <c r="CN23" i="7"/>
  <c r="CM23" i="7"/>
  <c r="CO23" i="7" s="1"/>
  <c r="CN22" i="7"/>
  <c r="CM22" i="7"/>
  <c r="CO22" i="7" s="1"/>
  <c r="CN21" i="7"/>
  <c r="CM21" i="7"/>
  <c r="CO21" i="7" s="1"/>
  <c r="CN20" i="7"/>
  <c r="CM20" i="7"/>
  <c r="CO20" i="7" s="1"/>
  <c r="CN19" i="7"/>
  <c r="CM19" i="7"/>
  <c r="CO19" i="7" s="1"/>
  <c r="CN18" i="7"/>
  <c r="CM18" i="7"/>
  <c r="CO18" i="7" s="1"/>
  <c r="CN17" i="7"/>
  <c r="CM17" i="7"/>
  <c r="CO17" i="7" s="1"/>
  <c r="CN16" i="7"/>
  <c r="CM16" i="7"/>
  <c r="CO16" i="7" s="1"/>
  <c r="CN15" i="7"/>
  <c r="CM15" i="7"/>
  <c r="CO15" i="7" s="1"/>
  <c r="CN14" i="7"/>
  <c r="CM14" i="7"/>
  <c r="CN9" i="7"/>
  <c r="CM9" i="7"/>
  <c r="CO9" i="7" s="1"/>
  <c r="CN8" i="7"/>
  <c r="CM8" i="7"/>
  <c r="CO8" i="7" s="1"/>
  <c r="CN7" i="7"/>
  <c r="CM7" i="7"/>
  <c r="CO7" i="7" s="1"/>
  <c r="CN6" i="7"/>
  <c r="CN11" i="7" s="1"/>
  <c r="CM6" i="7"/>
  <c r="CJ56" i="7"/>
  <c r="CJ55" i="7"/>
  <c r="CJ54" i="7"/>
  <c r="CJ53" i="7"/>
  <c r="CJ52" i="7"/>
  <c r="CJ51" i="7"/>
  <c r="CJ50" i="7"/>
  <c r="CJ49" i="7"/>
  <c r="CJ48" i="7"/>
  <c r="CJ47" i="7"/>
  <c r="CJ46" i="7"/>
  <c r="CK44" i="7"/>
  <c r="CJ44" i="7"/>
  <c r="CK40" i="7"/>
  <c r="CJ40" i="7"/>
  <c r="CK39" i="7"/>
  <c r="CJ39" i="7"/>
  <c r="CK38" i="7"/>
  <c r="CJ38" i="7"/>
  <c r="CK37" i="7"/>
  <c r="CJ37" i="7"/>
  <c r="CK36" i="7"/>
  <c r="CJ36" i="7"/>
  <c r="CL29" i="7"/>
  <c r="CL28" i="7"/>
  <c r="CL27" i="7"/>
  <c r="CK26" i="7"/>
  <c r="CJ26" i="7"/>
  <c r="CK25" i="7"/>
  <c r="CJ25" i="7"/>
  <c r="CK24" i="7"/>
  <c r="CJ24" i="7"/>
  <c r="CK23" i="7"/>
  <c r="CJ23" i="7"/>
  <c r="CK22" i="7"/>
  <c r="CJ22" i="7"/>
  <c r="CK21" i="7"/>
  <c r="CJ21" i="7"/>
  <c r="CK20" i="7"/>
  <c r="CJ20" i="7"/>
  <c r="CK19" i="7"/>
  <c r="CJ19" i="7"/>
  <c r="CK18" i="7"/>
  <c r="CJ18" i="7"/>
  <c r="CK17" i="7"/>
  <c r="CJ17" i="7"/>
  <c r="CK16" i="7"/>
  <c r="CJ16" i="7"/>
  <c r="CK15" i="7"/>
  <c r="CJ15" i="7"/>
  <c r="CK14" i="7"/>
  <c r="CJ14" i="7"/>
  <c r="CK9" i="7"/>
  <c r="CJ9" i="7"/>
  <c r="CK8" i="7"/>
  <c r="CJ8" i="7"/>
  <c r="CK7" i="7"/>
  <c r="CJ7" i="7"/>
  <c r="CK6" i="7"/>
  <c r="CK11" i="7" s="1"/>
  <c r="CJ6" i="7"/>
  <c r="CG56" i="7"/>
  <c r="CG55" i="7"/>
  <c r="CG54" i="7"/>
  <c r="CG53" i="7"/>
  <c r="CG52" i="7"/>
  <c r="CG51" i="7"/>
  <c r="CG50" i="7"/>
  <c r="CG49" i="7"/>
  <c r="CG48" i="7"/>
  <c r="CG47" i="7"/>
  <c r="CG46" i="7"/>
  <c r="CH44" i="7"/>
  <c r="CG44" i="7"/>
  <c r="CH40" i="7"/>
  <c r="CG40" i="7"/>
  <c r="CH39" i="7"/>
  <c r="CG39" i="7"/>
  <c r="CH38" i="7"/>
  <c r="CG38" i="7"/>
  <c r="CH37" i="7"/>
  <c r="CG37" i="7"/>
  <c r="CH36" i="7"/>
  <c r="CG36" i="7"/>
  <c r="CH26" i="7"/>
  <c r="CG26" i="7"/>
  <c r="CH25" i="7"/>
  <c r="CG25" i="7"/>
  <c r="CH24" i="7"/>
  <c r="CG24" i="7"/>
  <c r="CH23" i="7"/>
  <c r="CG23" i="7"/>
  <c r="CH22" i="7"/>
  <c r="CG22" i="7"/>
  <c r="CH21" i="7"/>
  <c r="CG21" i="7"/>
  <c r="CH20" i="7"/>
  <c r="CG20" i="7"/>
  <c r="CH19" i="7"/>
  <c r="CG19" i="7"/>
  <c r="CH18" i="7"/>
  <c r="CG18" i="7"/>
  <c r="CH17" i="7"/>
  <c r="CG17" i="7"/>
  <c r="CH16" i="7"/>
  <c r="CG16" i="7"/>
  <c r="CH15" i="7"/>
  <c r="CG15" i="7"/>
  <c r="CH14" i="7"/>
  <c r="CG14" i="7"/>
  <c r="CH9" i="7"/>
  <c r="CG9" i="7"/>
  <c r="CH8" i="7"/>
  <c r="CG8" i="7"/>
  <c r="CH7" i="7"/>
  <c r="CG7" i="7"/>
  <c r="CH6" i="7"/>
  <c r="CG6" i="7"/>
  <c r="E30" i="7"/>
  <c r="AU30" i="7"/>
  <c r="AG30" i="8"/>
  <c r="AE30" i="8"/>
  <c r="R21" i="3" s="1"/>
  <c r="AC30" i="8"/>
  <c r="Q21" i="3" s="1"/>
  <c r="AA30" i="8"/>
  <c r="P21" i="3" s="1"/>
  <c r="Y30" i="8"/>
  <c r="O21" i="3" s="1"/>
  <c r="W30" i="8"/>
  <c r="N21" i="3" s="1"/>
  <c r="U30" i="8"/>
  <c r="M21" i="3" s="1"/>
  <c r="S30" i="8"/>
  <c r="L21" i="3" s="1"/>
  <c r="Q30" i="8"/>
  <c r="K21" i="3" s="1"/>
  <c r="O30" i="8"/>
  <c r="J21" i="3" s="1"/>
  <c r="M30" i="8"/>
  <c r="K30" i="8"/>
  <c r="I30" i="8"/>
  <c r="H30" i="8"/>
  <c r="G30" i="8"/>
  <c r="D30" i="8"/>
  <c r="C30" i="8"/>
  <c r="B30" i="8"/>
  <c r="AV30" i="8" s="1"/>
  <c r="A30" i="8"/>
  <c r="AR56" i="7"/>
  <c r="AR56" i="8" s="1"/>
  <c r="AR55" i="7"/>
  <c r="AR55" i="8" s="1"/>
  <c r="AR54" i="7"/>
  <c r="AR54" i="8" s="1"/>
  <c r="AR53" i="7"/>
  <c r="AR53" i="8" s="1"/>
  <c r="AR52" i="7"/>
  <c r="AR52" i="8" s="1"/>
  <c r="AR51" i="7"/>
  <c r="AR51" i="8" s="1"/>
  <c r="AR50" i="7"/>
  <c r="AR50" i="8" s="1"/>
  <c r="AR49" i="7"/>
  <c r="AR49" i="8" s="1"/>
  <c r="AR48" i="7"/>
  <c r="AR48" i="8" s="1"/>
  <c r="AR47" i="7"/>
  <c r="AR47" i="8" s="1"/>
  <c r="AR46" i="7"/>
  <c r="AR46" i="8" s="1"/>
  <c r="AR42" i="7"/>
  <c r="AQ42" i="7"/>
  <c r="AQ58" i="7" s="1"/>
  <c r="AQ31" i="7"/>
  <c r="AQ33" i="7" s="1"/>
  <c r="AP56" i="7"/>
  <c r="AP56" i="8" s="1"/>
  <c r="AP55" i="7"/>
  <c r="AP55" i="8" s="1"/>
  <c r="AP54" i="7"/>
  <c r="AP54" i="8" s="1"/>
  <c r="AP53" i="7"/>
  <c r="AP53" i="8" s="1"/>
  <c r="AP52" i="7"/>
  <c r="AP52" i="8" s="1"/>
  <c r="AP51" i="7"/>
  <c r="AP51" i="8" s="1"/>
  <c r="AP50" i="7"/>
  <c r="AP50" i="8" s="1"/>
  <c r="AP49" i="7"/>
  <c r="AP49" i="8" s="1"/>
  <c r="AP48" i="7"/>
  <c r="AP48" i="8" s="1"/>
  <c r="AP47" i="7"/>
  <c r="AP47" i="8" s="1"/>
  <c r="AP46" i="7"/>
  <c r="AP46" i="8" s="1"/>
  <c r="AP42" i="7"/>
  <c r="AO42" i="7"/>
  <c r="AO58" i="7" s="1"/>
  <c r="AO31" i="7"/>
  <c r="AN56" i="7"/>
  <c r="AN56" i="8" s="1"/>
  <c r="AN55" i="7"/>
  <c r="AN55" i="8" s="1"/>
  <c r="AN54" i="7"/>
  <c r="AN54" i="8" s="1"/>
  <c r="AN53" i="7"/>
  <c r="AN53" i="8" s="1"/>
  <c r="AN52" i="7"/>
  <c r="AN52" i="8" s="1"/>
  <c r="AN51" i="7"/>
  <c r="AN51" i="8" s="1"/>
  <c r="AN50" i="7"/>
  <c r="AN50" i="8" s="1"/>
  <c r="AN49" i="7"/>
  <c r="AN49" i="8" s="1"/>
  <c r="AN48" i="7"/>
  <c r="AN48" i="8" s="1"/>
  <c r="AN47" i="7"/>
  <c r="AN47" i="8" s="1"/>
  <c r="AN46" i="7"/>
  <c r="AN46" i="8" s="1"/>
  <c r="AN42" i="7"/>
  <c r="AM42" i="7"/>
  <c r="AM58" i="7" s="1"/>
  <c r="AM31" i="7"/>
  <c r="AL56" i="7"/>
  <c r="AL56" i="8" s="1"/>
  <c r="AL55" i="7"/>
  <c r="AL55" i="8" s="1"/>
  <c r="AL54" i="7"/>
  <c r="AL54" i="8" s="1"/>
  <c r="AL53" i="7"/>
  <c r="AL53" i="8" s="1"/>
  <c r="AL52" i="7"/>
  <c r="AL52" i="8" s="1"/>
  <c r="AL51" i="7"/>
  <c r="AL51" i="8" s="1"/>
  <c r="AL50" i="7"/>
  <c r="AL50" i="8" s="1"/>
  <c r="AL49" i="7"/>
  <c r="AL49" i="8" s="1"/>
  <c r="AL48" i="7"/>
  <c r="AL48" i="8" s="1"/>
  <c r="AL47" i="7"/>
  <c r="AL47" i="8" s="1"/>
  <c r="AL46" i="7"/>
  <c r="AL46" i="8" s="1"/>
  <c r="AL42" i="7"/>
  <c r="AK42" i="7"/>
  <c r="AK58" i="7" s="1"/>
  <c r="AK31" i="7"/>
  <c r="AJ56" i="7"/>
  <c r="AJ56" i="8" s="1"/>
  <c r="AJ55" i="7"/>
  <c r="AJ55" i="8" s="1"/>
  <c r="AJ54" i="7"/>
  <c r="AJ54" i="8" s="1"/>
  <c r="AJ53" i="7"/>
  <c r="AJ53" i="8" s="1"/>
  <c r="AJ52" i="7"/>
  <c r="AJ52" i="8" s="1"/>
  <c r="AJ51" i="7"/>
  <c r="AJ51" i="8" s="1"/>
  <c r="AJ50" i="7"/>
  <c r="AJ50" i="8" s="1"/>
  <c r="AJ49" i="7"/>
  <c r="AJ49" i="8" s="1"/>
  <c r="AJ48" i="7"/>
  <c r="AJ48" i="8" s="1"/>
  <c r="AJ47" i="7"/>
  <c r="AJ47" i="8" s="1"/>
  <c r="AJ46" i="7"/>
  <c r="AJ46" i="8" s="1"/>
  <c r="AJ42" i="7"/>
  <c r="AI42" i="7"/>
  <c r="AI58" i="7" s="1"/>
  <c r="AI31" i="7"/>
  <c r="AI33" i="7" s="1"/>
  <c r="AG31" i="7"/>
  <c r="AE31" i="7"/>
  <c r="AC31" i="7"/>
  <c r="AA31" i="7"/>
  <c r="Y31" i="7"/>
  <c r="W31" i="7"/>
  <c r="U31" i="7"/>
  <c r="S31" i="7"/>
  <c r="Q31" i="7"/>
  <c r="O31" i="7"/>
  <c r="M31" i="7"/>
  <c r="K31" i="7"/>
  <c r="I31" i="7"/>
  <c r="P220" i="27"/>
  <c r="T206" i="27" s="1"/>
  <c r="D219" i="27"/>
  <c r="T115" i="27" s="1"/>
  <c r="D218" i="27"/>
  <c r="D217" i="27"/>
  <c r="D216" i="27"/>
  <c r="D215" i="27"/>
  <c r="D214" i="27"/>
  <c r="D213" i="27"/>
  <c r="D212" i="27"/>
  <c r="D211" i="27"/>
  <c r="D210" i="27"/>
  <c r="D209" i="27"/>
  <c r="D148" i="27"/>
  <c r="T113" i="27"/>
  <c r="T104" i="27"/>
  <c r="T11" i="27"/>
  <c r="D5" i="27"/>
  <c r="D6" i="27" s="1"/>
  <c r="D7" i="27" s="1"/>
  <c r="D8" i="27" s="1"/>
  <c r="D9" i="27" s="1"/>
  <c r="D10" i="27" s="1"/>
  <c r="D11" i="27" s="1"/>
  <c r="D12" i="27" s="1"/>
  <c r="D13" i="27" s="1"/>
  <c r="D14" i="27" s="1"/>
  <c r="D15" i="27" s="1"/>
  <c r="T7" i="27" l="1"/>
  <c r="T15" i="27"/>
  <c r="T108" i="27"/>
  <c r="T117" i="27"/>
  <c r="CH11" i="7"/>
  <c r="CJ11" i="7"/>
  <c r="CJ33" i="7" s="1"/>
  <c r="CJ31" i="7"/>
  <c r="CM11" i="7"/>
  <c r="CM33" i="7" s="1"/>
  <c r="CM31" i="7"/>
  <c r="CP11" i="7"/>
  <c r="CP33" i="7" s="1"/>
  <c r="CS11" i="7"/>
  <c r="AL42" i="8"/>
  <c r="AL61" i="8" s="1"/>
  <c r="AM11" i="8"/>
  <c r="V26" i="3" s="1"/>
  <c r="AN42" i="8"/>
  <c r="AO11" i="8"/>
  <c r="W26" i="3" s="1"/>
  <c r="AP42" i="8"/>
  <c r="AQ11" i="8"/>
  <c r="X26" i="3" s="1"/>
  <c r="AR42" i="8"/>
  <c r="T4" i="27"/>
  <c r="T9" i="27"/>
  <c r="T102" i="27"/>
  <c r="T110" i="27"/>
  <c r="T119" i="27"/>
  <c r="CL36" i="7"/>
  <c r="CL38" i="7"/>
  <c r="CL40" i="7"/>
  <c r="CR36" i="7"/>
  <c r="CR38" i="7"/>
  <c r="CR40" i="7"/>
  <c r="CX8" i="7"/>
  <c r="CX37" i="7"/>
  <c r="CX39" i="7"/>
  <c r="CX44" i="7"/>
  <c r="CL26" i="8"/>
  <c r="T8" i="28"/>
  <c r="T12" i="28"/>
  <c r="T101" i="28"/>
  <c r="T105" i="28"/>
  <c r="T109" i="28"/>
  <c r="T114" i="28"/>
  <c r="T122" i="28"/>
  <c r="T131" i="28"/>
  <c r="T140" i="28"/>
  <c r="T155" i="28"/>
  <c r="T164" i="28"/>
  <c r="T173" i="28"/>
  <c r="T206" i="28"/>
  <c r="T219" i="28"/>
  <c r="T5" i="27"/>
  <c r="T13" i="27"/>
  <c r="T106" i="27"/>
  <c r="CG11" i="7"/>
  <c r="CL37" i="7"/>
  <c r="CL39" i="7"/>
  <c r="CL44" i="7"/>
  <c r="CR37" i="7"/>
  <c r="CR39" i="7"/>
  <c r="CR44" i="7"/>
  <c r="CX7" i="7"/>
  <c r="CX9" i="7"/>
  <c r="CX36" i="7"/>
  <c r="CX38" i="7"/>
  <c r="CX40" i="7"/>
  <c r="AM42" i="8"/>
  <c r="AO42" i="8"/>
  <c r="AQ42" i="8"/>
  <c r="CL25" i="8"/>
  <c r="T6" i="28"/>
  <c r="T10" i="28"/>
  <c r="T14" i="28"/>
  <c r="T103" i="28"/>
  <c r="T107" i="28"/>
  <c r="T111" i="28"/>
  <c r="T118" i="28"/>
  <c r="T127" i="28"/>
  <c r="T135" i="28"/>
  <c r="T144" i="28"/>
  <c r="T151" i="28"/>
  <c r="T159" i="28"/>
  <c r="T168" i="28"/>
  <c r="T6" i="27"/>
  <c r="T8" i="27"/>
  <c r="T10" i="27"/>
  <c r="T12" i="27"/>
  <c r="T14" i="27"/>
  <c r="T101" i="27"/>
  <c r="T103" i="27"/>
  <c r="T105" i="27"/>
  <c r="T107" i="27"/>
  <c r="T109" i="27"/>
  <c r="T111" i="27"/>
  <c r="T114" i="27"/>
  <c r="T116" i="27"/>
  <c r="T118" i="27"/>
  <c r="T120" i="27"/>
  <c r="T122" i="27"/>
  <c r="T125" i="27"/>
  <c r="T127" i="27"/>
  <c r="T129" i="27"/>
  <c r="T131" i="27"/>
  <c r="T133" i="27"/>
  <c r="T135" i="27"/>
  <c r="T138" i="27"/>
  <c r="T140" i="27"/>
  <c r="T142" i="27"/>
  <c r="T144" i="27"/>
  <c r="T146" i="27"/>
  <c r="T149" i="27"/>
  <c r="T151" i="27"/>
  <c r="T153" i="27"/>
  <c r="T155" i="27"/>
  <c r="T157" i="27"/>
  <c r="T159" i="27"/>
  <c r="T162" i="27"/>
  <c r="T164" i="27"/>
  <c r="T166" i="27"/>
  <c r="T168" i="27"/>
  <c r="T173" i="27"/>
  <c r="T177" i="27"/>
  <c r="T181" i="27"/>
  <c r="T186" i="27"/>
  <c r="T190" i="27"/>
  <c r="T194" i="27"/>
  <c r="T201" i="27"/>
  <c r="CL7" i="7"/>
  <c r="CL8" i="7"/>
  <c r="CL9" i="7"/>
  <c r="CL15" i="7"/>
  <c r="CL16" i="7"/>
  <c r="CL17" i="7"/>
  <c r="CL18" i="7"/>
  <c r="CL19" i="7"/>
  <c r="CL20" i="7"/>
  <c r="CL21" i="7"/>
  <c r="CL22" i="7"/>
  <c r="CL23" i="7"/>
  <c r="CL24" i="7"/>
  <c r="CL25" i="7"/>
  <c r="CL26" i="7"/>
  <c r="CO36" i="7"/>
  <c r="CO37" i="7"/>
  <c r="CO38" i="7"/>
  <c r="CO39" i="7"/>
  <c r="CO40" i="7"/>
  <c r="CO44" i="7"/>
  <c r="CR7" i="7"/>
  <c r="CR8" i="7"/>
  <c r="CR9" i="7"/>
  <c r="CR15" i="7"/>
  <c r="CR16" i="7"/>
  <c r="CR17" i="7"/>
  <c r="CR18" i="7"/>
  <c r="CR19" i="7"/>
  <c r="CR20" i="7"/>
  <c r="CR21" i="7"/>
  <c r="CR22" i="7"/>
  <c r="CR23" i="7"/>
  <c r="CR24" i="7"/>
  <c r="CR25" i="7"/>
  <c r="CR26" i="7"/>
  <c r="CT11" i="7"/>
  <c r="CS31" i="7"/>
  <c r="CS33" i="7" s="1"/>
  <c r="CU15" i="7"/>
  <c r="CU16" i="7"/>
  <c r="CU17" i="7"/>
  <c r="CU18" i="7"/>
  <c r="CU19" i="7"/>
  <c r="CU20" i="7"/>
  <c r="CU21" i="7"/>
  <c r="CU22" i="7"/>
  <c r="CU23" i="7"/>
  <c r="CU24" i="7"/>
  <c r="CU25" i="7"/>
  <c r="CU26" i="7"/>
  <c r="CW11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AL11" i="8"/>
  <c r="AK12" i="8" s="1"/>
  <c r="CO25" i="8"/>
  <c r="CO26" i="8"/>
  <c r="CR25" i="8"/>
  <c r="CR26" i="8"/>
  <c r="CU25" i="8"/>
  <c r="CU26" i="8"/>
  <c r="CX25" i="8"/>
  <c r="CX26" i="8"/>
  <c r="T115" i="28"/>
  <c r="T117" i="28"/>
  <c r="T119" i="28"/>
  <c r="T121" i="28"/>
  <c r="T123" i="28"/>
  <c r="T126" i="28"/>
  <c r="T128" i="28"/>
  <c r="T130" i="28"/>
  <c r="T132" i="28"/>
  <c r="T134" i="28"/>
  <c r="T137" i="28"/>
  <c r="T139" i="28"/>
  <c r="T141" i="28"/>
  <c r="T143" i="28"/>
  <c r="T145" i="28"/>
  <c r="T147" i="28"/>
  <c r="T148" i="28"/>
  <c r="T150" i="28"/>
  <c r="T152" i="28"/>
  <c r="T154" i="28"/>
  <c r="T156" i="28"/>
  <c r="T158" i="28"/>
  <c r="T161" i="28"/>
  <c r="T163" i="28"/>
  <c r="T165" i="28"/>
  <c r="T167" i="28"/>
  <c r="T169" i="28"/>
  <c r="T171" i="28"/>
  <c r="T176" i="28"/>
  <c r="T185" i="28"/>
  <c r="T193" i="28"/>
  <c r="T202" i="28"/>
  <c r="T121" i="27"/>
  <c r="T123" i="27"/>
  <c r="T126" i="27"/>
  <c r="T128" i="27"/>
  <c r="T130" i="27"/>
  <c r="T132" i="27"/>
  <c r="T134" i="27"/>
  <c r="T137" i="27"/>
  <c r="T139" i="27"/>
  <c r="T141" i="27"/>
  <c r="T143" i="27"/>
  <c r="T145" i="27"/>
  <c r="T147" i="27"/>
  <c r="T148" i="27"/>
  <c r="Y159" i="27" s="1"/>
  <c r="T150" i="27"/>
  <c r="T152" i="27"/>
  <c r="T154" i="27"/>
  <c r="T156" i="27"/>
  <c r="T158" i="27"/>
  <c r="T161" i="27"/>
  <c r="T163" i="27"/>
  <c r="T165" i="27"/>
  <c r="T167" i="27"/>
  <c r="T170" i="27"/>
  <c r="T175" i="27"/>
  <c r="T179" i="27"/>
  <c r="T183" i="27"/>
  <c r="T188" i="27"/>
  <c r="T192" i="27"/>
  <c r="T197" i="27"/>
  <c r="T205" i="27"/>
  <c r="U26" i="3"/>
  <c r="AO59" i="8"/>
  <c r="AO61" i="8" s="1"/>
  <c r="AM59" i="8"/>
  <c r="AM61" i="8" s="1"/>
  <c r="AQ59" i="8"/>
  <c r="AJ59" i="8"/>
  <c r="V36" i="3"/>
  <c r="AL59" i="8"/>
  <c r="X36" i="3"/>
  <c r="AN59" i="8"/>
  <c r="AN61" i="8" s="1"/>
  <c r="AP59" i="8"/>
  <c r="AR59" i="8"/>
  <c r="I21" i="3"/>
  <c r="E30" i="8"/>
  <c r="CG30" i="8"/>
  <c r="R25" i="2" s="1"/>
  <c r="S21" i="3"/>
  <c r="AI42" i="8"/>
  <c r="V28" i="3"/>
  <c r="AI59" i="8"/>
  <c r="U36" i="3"/>
  <c r="AK42" i="8"/>
  <c r="X28" i="3"/>
  <c r="AK59" i="8"/>
  <c r="W36" i="3"/>
  <c r="T25" i="3"/>
  <c r="AI31" i="8"/>
  <c r="AI33" i="8" s="1"/>
  <c r="V9" i="3"/>
  <c r="CJ30" i="8"/>
  <c r="S25" i="2" s="1"/>
  <c r="T21" i="3"/>
  <c r="AJ42" i="8"/>
  <c r="W28" i="3"/>
  <c r="AK31" i="8"/>
  <c r="AK33" i="8" s="1"/>
  <c r="X9" i="3"/>
  <c r="CM30" i="8"/>
  <c r="T25" i="2" s="1"/>
  <c r="W60" i="1"/>
  <c r="V25" i="3"/>
  <c r="CP30" i="8"/>
  <c r="U25" i="2" s="1"/>
  <c r="V21" i="3"/>
  <c r="X60" i="1"/>
  <c r="W25" i="3"/>
  <c r="CS30" i="8"/>
  <c r="W21" i="3"/>
  <c r="W8" i="3" s="1"/>
  <c r="X61" i="1" s="1"/>
  <c r="Y60" i="1"/>
  <c r="X25" i="3"/>
  <c r="CV30" i="8"/>
  <c r="X21" i="3"/>
  <c r="AR61" i="8"/>
  <c r="CL10" i="7"/>
  <c r="CO10" i="7"/>
  <c r="CR10" i="7"/>
  <c r="CU10" i="7"/>
  <c r="CX10" i="7"/>
  <c r="T172" i="28"/>
  <c r="Y183" i="28" s="1"/>
  <c r="T174" i="28"/>
  <c r="T178" i="28"/>
  <c r="T182" i="28"/>
  <c r="T187" i="28"/>
  <c r="T191" i="28"/>
  <c r="T195" i="28"/>
  <c r="T200" i="28"/>
  <c r="T204" i="28"/>
  <c r="T175" i="28"/>
  <c r="T177" i="28"/>
  <c r="T179" i="28"/>
  <c r="T181" i="28"/>
  <c r="T183" i="28"/>
  <c r="T186" i="28"/>
  <c r="T188" i="28"/>
  <c r="T190" i="28"/>
  <c r="T192" i="28"/>
  <c r="T194" i="28"/>
  <c r="T197" i="28"/>
  <c r="T199" i="28"/>
  <c r="T201" i="28"/>
  <c r="T203" i="28"/>
  <c r="T205" i="28"/>
  <c r="T207" i="28"/>
  <c r="T209" i="28"/>
  <c r="T210" i="28"/>
  <c r="T211" i="28"/>
  <c r="T212" i="28"/>
  <c r="T213" i="28"/>
  <c r="T214" i="28"/>
  <c r="T215" i="28"/>
  <c r="T216" i="28"/>
  <c r="T217" i="28"/>
  <c r="T218" i="28"/>
  <c r="T16" i="28"/>
  <c r="D16" i="28"/>
  <c r="Y15" i="28"/>
  <c r="CP31" i="7"/>
  <c r="CD30" i="8"/>
  <c r="Q25" i="2" s="1"/>
  <c r="BX30" i="8"/>
  <c r="O25" i="2" s="1"/>
  <c r="BL30" i="8"/>
  <c r="K25" i="2" s="1"/>
  <c r="BR30" i="8"/>
  <c r="M25" i="2" s="1"/>
  <c r="BF30" i="8"/>
  <c r="I25" i="2" s="1"/>
  <c r="T199" i="27"/>
  <c r="T203" i="27"/>
  <c r="T207" i="27"/>
  <c r="T209" i="27"/>
  <c r="T210" i="27"/>
  <c r="T211" i="27"/>
  <c r="T212" i="27"/>
  <c r="T213" i="27"/>
  <c r="T214" i="27"/>
  <c r="T215" i="27"/>
  <c r="T216" i="27"/>
  <c r="T217" i="27"/>
  <c r="T218" i="27"/>
  <c r="T219" i="27"/>
  <c r="BC30" i="8"/>
  <c r="H25" i="2" s="1"/>
  <c r="BI30" i="8"/>
  <c r="J25" i="2" s="1"/>
  <c r="BO30" i="8"/>
  <c r="L25" i="2" s="1"/>
  <c r="BU30" i="8"/>
  <c r="N25" i="2" s="1"/>
  <c r="CA30" i="8"/>
  <c r="P25" i="2" s="1"/>
  <c r="AQ33" i="8"/>
  <c r="AQ12" i="8"/>
  <c r="AO33" i="8"/>
  <c r="AO12" i="8"/>
  <c r="AM33" i="8"/>
  <c r="AM12" i="8"/>
  <c r="AI12" i="8"/>
  <c r="CV33" i="7"/>
  <c r="CX6" i="7"/>
  <c r="CX14" i="7"/>
  <c r="CV58" i="7"/>
  <c r="CV60" i="7" s="1"/>
  <c r="CU6" i="7"/>
  <c r="CU14" i="7"/>
  <c r="CS58" i="7"/>
  <c r="CS60" i="7" s="1"/>
  <c r="CR6" i="7"/>
  <c r="CR14" i="7"/>
  <c r="CP58" i="7"/>
  <c r="CO6" i="7"/>
  <c r="CO14" i="7"/>
  <c r="CM58" i="7"/>
  <c r="CM60" i="7" s="1"/>
  <c r="CL6" i="7"/>
  <c r="CL14" i="7"/>
  <c r="CJ58" i="7"/>
  <c r="CJ60" i="7" s="1"/>
  <c r="AJ58" i="7"/>
  <c r="AP58" i="7"/>
  <c r="AO59" i="7" s="1"/>
  <c r="CI7" i="7"/>
  <c r="CI8" i="7"/>
  <c r="CI9" i="7"/>
  <c r="CI10" i="7"/>
  <c r="CG31" i="7"/>
  <c r="CI15" i="7"/>
  <c r="CI16" i="7"/>
  <c r="CI17" i="7"/>
  <c r="CI18" i="7"/>
  <c r="CI19" i="7"/>
  <c r="CI20" i="7"/>
  <c r="CI21" i="7"/>
  <c r="CI22" i="7"/>
  <c r="CI23" i="7"/>
  <c r="CI24" i="7"/>
  <c r="CI25" i="7"/>
  <c r="CI26" i="7"/>
  <c r="CI36" i="7"/>
  <c r="CI37" i="7"/>
  <c r="CI38" i="7"/>
  <c r="CI39" i="7"/>
  <c r="CI40" i="7"/>
  <c r="CI44" i="7"/>
  <c r="AN58" i="7"/>
  <c r="CI6" i="7"/>
  <c r="CI14" i="7"/>
  <c r="CG58" i="7"/>
  <c r="AL58" i="7"/>
  <c r="AK59" i="7" s="1"/>
  <c r="AR58" i="7"/>
  <c r="AQ59" i="7" s="1"/>
  <c r="AH30" i="8"/>
  <c r="AK33" i="7"/>
  <c r="AM33" i="7"/>
  <c r="AO33" i="7"/>
  <c r="AQ60" i="7"/>
  <c r="AQ12" i="7"/>
  <c r="AO60" i="7"/>
  <c r="AO12" i="7"/>
  <c r="AM59" i="7"/>
  <c r="AM60" i="7"/>
  <c r="AM12" i="7"/>
  <c r="AK60" i="7"/>
  <c r="AK12" i="7"/>
  <c r="AI59" i="7"/>
  <c r="AI60" i="7"/>
  <c r="AI12" i="7"/>
  <c r="D16" i="27"/>
  <c r="T16" i="27"/>
  <c r="T169" i="27"/>
  <c r="T171" i="27"/>
  <c r="T172" i="27"/>
  <c r="T174" i="27"/>
  <c r="T176" i="27"/>
  <c r="T178" i="27"/>
  <c r="T180" i="27"/>
  <c r="T182" i="27"/>
  <c r="T185" i="27"/>
  <c r="T187" i="27"/>
  <c r="T189" i="27"/>
  <c r="T191" i="27"/>
  <c r="T193" i="27"/>
  <c r="T195" i="27"/>
  <c r="T198" i="27"/>
  <c r="T200" i="27"/>
  <c r="T202" i="27"/>
  <c r="T204" i="27"/>
  <c r="CG33" i="7" l="1"/>
  <c r="AQ61" i="8"/>
  <c r="AQ62" i="8" s="1"/>
  <c r="W27" i="3"/>
  <c r="AP61" i="8"/>
  <c r="AO62" i="8" s="1"/>
  <c r="Y159" i="28"/>
  <c r="Y15" i="27"/>
  <c r="J30" i="8" s="1"/>
  <c r="AJ61" i="8"/>
  <c r="CO11" i="7"/>
  <c r="CP60" i="7"/>
  <c r="CU11" i="7"/>
  <c r="X27" i="3"/>
  <c r="D21" i="3"/>
  <c r="U25" i="3"/>
  <c r="AO63" i="8"/>
  <c r="CL11" i="7"/>
  <c r="CR11" i="7"/>
  <c r="CX11" i="7"/>
  <c r="AM62" i="8"/>
  <c r="AM63" i="8"/>
  <c r="AQ63" i="8"/>
  <c r="V27" i="3"/>
  <c r="X59" i="1"/>
  <c r="X57" i="1" s="1"/>
  <c r="X8" i="3"/>
  <c r="Y61" i="1" s="1"/>
  <c r="Y59" i="1" s="1"/>
  <c r="Y57" i="1" s="1"/>
  <c r="W37" i="3"/>
  <c r="V8" i="3"/>
  <c r="W61" i="1" s="1"/>
  <c r="W59" i="1" s="1"/>
  <c r="W57" i="1" s="1"/>
  <c r="AK61" i="8"/>
  <c r="AI61" i="8"/>
  <c r="Y183" i="27"/>
  <c r="D25" i="28"/>
  <c r="D23" i="28"/>
  <c r="D22" i="28"/>
  <c r="D20" i="28"/>
  <c r="D18" i="28"/>
  <c r="D28" i="28"/>
  <c r="T27" i="28"/>
  <c r="T26" i="28"/>
  <c r="T25" i="28"/>
  <c r="T24" i="28"/>
  <c r="T23" i="28"/>
  <c r="T22" i="28"/>
  <c r="T21" i="28"/>
  <c r="T20" i="28"/>
  <c r="T19" i="28"/>
  <c r="T18" i="28"/>
  <c r="T17" i="28"/>
  <c r="T28" i="28"/>
  <c r="D27" i="28"/>
  <c r="D26" i="28"/>
  <c r="D24" i="28"/>
  <c r="D21" i="28"/>
  <c r="D19" i="28"/>
  <c r="D17" i="28"/>
  <c r="CI11" i="7"/>
  <c r="J31" i="7"/>
  <c r="CG60" i="7"/>
  <c r="T28" i="27"/>
  <c r="D26" i="27"/>
  <c r="D25" i="27"/>
  <c r="D23" i="27"/>
  <c r="D21" i="27"/>
  <c r="D19" i="27"/>
  <c r="D18" i="27"/>
  <c r="D28" i="27"/>
  <c r="T27" i="27"/>
  <c r="T26" i="27"/>
  <c r="T25" i="27"/>
  <c r="T24" i="27"/>
  <c r="T23" i="27"/>
  <c r="T22" i="27"/>
  <c r="T21" i="27"/>
  <c r="T20" i="27"/>
  <c r="T19" i="27"/>
  <c r="T18" i="27"/>
  <c r="T17" i="27"/>
  <c r="D27" i="27"/>
  <c r="D24" i="27"/>
  <c r="D22" i="27"/>
  <c r="D20" i="27"/>
  <c r="D17" i="27"/>
  <c r="AI63" i="8" l="1"/>
  <c r="AI62" i="8"/>
  <c r="V37" i="3"/>
  <c r="AK62" i="8"/>
  <c r="AK63" i="8"/>
  <c r="X37" i="3"/>
  <c r="Y27" i="28"/>
  <c r="T39" i="28"/>
  <c r="T37" i="28"/>
  <c r="T35" i="28"/>
  <c r="T33" i="28"/>
  <c r="T31" i="28"/>
  <c r="T29" i="28"/>
  <c r="T40" i="28"/>
  <c r="D39" i="28"/>
  <c r="D38" i="28"/>
  <c r="D37" i="28"/>
  <c r="D36" i="28"/>
  <c r="D35" i="28"/>
  <c r="D34" i="28"/>
  <c r="D33" i="28"/>
  <c r="D32" i="28"/>
  <c r="D31" i="28"/>
  <c r="D30" i="28"/>
  <c r="D29" i="28"/>
  <c r="D40" i="28"/>
  <c r="T38" i="28"/>
  <c r="T36" i="28"/>
  <c r="T34" i="28"/>
  <c r="T32" i="28"/>
  <c r="T30" i="28"/>
  <c r="AL31" i="7"/>
  <c r="AL30" i="8"/>
  <c r="AL31" i="8" s="1"/>
  <c r="Y27" i="27"/>
  <c r="T39" i="27"/>
  <c r="T36" i="27"/>
  <c r="T35" i="27"/>
  <c r="T32" i="27"/>
  <c r="T30" i="27"/>
  <c r="T40" i="27"/>
  <c r="D39" i="27"/>
  <c r="D38" i="27"/>
  <c r="D37" i="27"/>
  <c r="D36" i="27"/>
  <c r="D35" i="27"/>
  <c r="D34" i="27"/>
  <c r="D33" i="27"/>
  <c r="D32" i="27"/>
  <c r="D31" i="27"/>
  <c r="D30" i="27"/>
  <c r="D29" i="27"/>
  <c r="D40" i="27"/>
  <c r="T38" i="27"/>
  <c r="T37" i="27"/>
  <c r="T34" i="27"/>
  <c r="T33" i="27"/>
  <c r="T31" i="27"/>
  <c r="T29" i="27"/>
  <c r="Y39" i="28" l="1"/>
  <c r="T52" i="28"/>
  <c r="D51" i="28"/>
  <c r="D49" i="28"/>
  <c r="D47" i="28"/>
  <c r="D45" i="28"/>
  <c r="D43" i="28"/>
  <c r="D41" i="28"/>
  <c r="D52" i="28"/>
  <c r="T51" i="28"/>
  <c r="T50" i="28"/>
  <c r="T49" i="28"/>
  <c r="T48" i="28"/>
  <c r="T47" i="28"/>
  <c r="T46" i="28"/>
  <c r="T45" i="28"/>
  <c r="T44" i="28"/>
  <c r="T43" i="28"/>
  <c r="T42" i="28"/>
  <c r="T41" i="28"/>
  <c r="D50" i="28"/>
  <c r="D48" i="28"/>
  <c r="D46" i="28"/>
  <c r="D44" i="28"/>
  <c r="D42" i="28"/>
  <c r="AK32" i="8"/>
  <c r="AL33" i="8"/>
  <c r="AK34" i="8" s="1"/>
  <c r="AL63" i="8"/>
  <c r="U39" i="3" s="1"/>
  <c r="D33" i="30" s="1"/>
  <c r="AL60" i="7"/>
  <c r="AL61" i="7" s="1"/>
  <c r="AK32" i="7"/>
  <c r="AL33" i="7"/>
  <c r="AK34" i="7" s="1"/>
  <c r="L30" i="8"/>
  <c r="Y39" i="27"/>
  <c r="T52" i="27"/>
  <c r="D51" i="27"/>
  <c r="D49" i="27"/>
  <c r="D47" i="27"/>
  <c r="D45" i="27"/>
  <c r="D44" i="27"/>
  <c r="D42" i="27"/>
  <c r="D41" i="27"/>
  <c r="D52" i="27"/>
  <c r="T51" i="27"/>
  <c r="T50" i="27"/>
  <c r="T49" i="27"/>
  <c r="T48" i="27"/>
  <c r="T47" i="27"/>
  <c r="T46" i="27"/>
  <c r="T45" i="27"/>
  <c r="T44" i="27"/>
  <c r="T43" i="27"/>
  <c r="T42" i="27"/>
  <c r="T41" i="27"/>
  <c r="D50" i="27"/>
  <c r="D48" i="27"/>
  <c r="D46" i="27"/>
  <c r="D43" i="27"/>
  <c r="Y51" i="27" l="1"/>
  <c r="AL64" i="8"/>
  <c r="T63" i="28"/>
  <c r="T61" i="28"/>
  <c r="T59" i="28"/>
  <c r="T57" i="28"/>
  <c r="T54" i="28"/>
  <c r="T64" i="28"/>
  <c r="D63" i="28"/>
  <c r="D62" i="28"/>
  <c r="D61" i="28"/>
  <c r="D60" i="28"/>
  <c r="D59" i="28"/>
  <c r="D58" i="28"/>
  <c r="D57" i="28"/>
  <c r="D56" i="28"/>
  <c r="D55" i="28"/>
  <c r="D54" i="28"/>
  <c r="D53" i="28"/>
  <c r="D64" i="28"/>
  <c r="T62" i="28"/>
  <c r="T60" i="28"/>
  <c r="T58" i="28"/>
  <c r="T56" i="28"/>
  <c r="T55" i="28"/>
  <c r="T53" i="28"/>
  <c r="Y51" i="28"/>
  <c r="P30" i="8"/>
  <c r="N30" i="8"/>
  <c r="D64" i="27"/>
  <c r="T62" i="27"/>
  <c r="T60" i="27"/>
  <c r="T59" i="27"/>
  <c r="T56" i="27"/>
  <c r="T54" i="27"/>
  <c r="T64" i="27"/>
  <c r="D63" i="27"/>
  <c r="D62" i="27"/>
  <c r="D61" i="27"/>
  <c r="D60" i="27"/>
  <c r="D59" i="27"/>
  <c r="D58" i="27"/>
  <c r="D57" i="27"/>
  <c r="D56" i="27"/>
  <c r="D55" i="27"/>
  <c r="D54" i="27"/>
  <c r="D53" i="27"/>
  <c r="T63" i="27"/>
  <c r="T61" i="27"/>
  <c r="T58" i="27"/>
  <c r="T57" i="27"/>
  <c r="T55" i="27"/>
  <c r="T53" i="27"/>
  <c r="Y63" i="28" l="1"/>
  <c r="T76" i="28"/>
  <c r="D73" i="28"/>
  <c r="D69" i="28"/>
  <c r="D67" i="28"/>
  <c r="D65" i="28"/>
  <c r="D76" i="28"/>
  <c r="T75" i="28"/>
  <c r="T74" i="28"/>
  <c r="T73" i="28"/>
  <c r="T72" i="28"/>
  <c r="T71" i="28"/>
  <c r="T70" i="28"/>
  <c r="T69" i="28"/>
  <c r="T68" i="28"/>
  <c r="T67" i="28"/>
  <c r="T66" i="28"/>
  <c r="T65" i="28"/>
  <c r="Y75" i="28" s="1"/>
  <c r="D75" i="28"/>
  <c r="D74" i="28"/>
  <c r="D72" i="28"/>
  <c r="D71" i="28"/>
  <c r="D70" i="28"/>
  <c r="D68" i="28"/>
  <c r="D66" i="28"/>
  <c r="Y63" i="27"/>
  <c r="R30" i="8" s="1"/>
  <c r="T76" i="27"/>
  <c r="D75" i="27"/>
  <c r="D74" i="27"/>
  <c r="D73" i="27"/>
  <c r="D71" i="27"/>
  <c r="D69" i="27"/>
  <c r="D67" i="27"/>
  <c r="D66" i="27"/>
  <c r="D76" i="27"/>
  <c r="T75" i="27"/>
  <c r="T74" i="27"/>
  <c r="T73" i="27"/>
  <c r="T72" i="27"/>
  <c r="T71" i="27"/>
  <c r="T70" i="27"/>
  <c r="T69" i="27"/>
  <c r="T68" i="27"/>
  <c r="T67" i="27"/>
  <c r="T66" i="27"/>
  <c r="T65" i="27"/>
  <c r="D72" i="27"/>
  <c r="D70" i="27"/>
  <c r="D68" i="27"/>
  <c r="D65" i="27"/>
  <c r="Y75" i="27" l="1"/>
  <c r="T87" i="28"/>
  <c r="T82" i="28"/>
  <c r="T78" i="28"/>
  <c r="T88" i="28"/>
  <c r="D87" i="28"/>
  <c r="D86" i="28"/>
  <c r="D85" i="28"/>
  <c r="D84" i="28"/>
  <c r="D83" i="28"/>
  <c r="D82" i="28"/>
  <c r="D81" i="28"/>
  <c r="D80" i="28"/>
  <c r="D79" i="28"/>
  <c r="D78" i="28"/>
  <c r="D77" i="28"/>
  <c r="D88" i="28"/>
  <c r="T86" i="28"/>
  <c r="T85" i="28"/>
  <c r="T84" i="28"/>
  <c r="T83" i="28"/>
  <c r="T81" i="28"/>
  <c r="T80" i="28"/>
  <c r="T79" i="28"/>
  <c r="T77" i="28"/>
  <c r="T30" i="8"/>
  <c r="T84" i="27"/>
  <c r="T80" i="27"/>
  <c r="T77" i="27"/>
  <c r="T88" i="27"/>
  <c r="D87" i="27"/>
  <c r="D86" i="27"/>
  <c r="D85" i="27"/>
  <c r="D84" i="27"/>
  <c r="D83" i="27"/>
  <c r="D82" i="27"/>
  <c r="D81" i="27"/>
  <c r="D80" i="27"/>
  <c r="D79" i="27"/>
  <c r="D78" i="27"/>
  <c r="D77" i="27"/>
  <c r="D88" i="27"/>
  <c r="T87" i="27"/>
  <c r="T86" i="27"/>
  <c r="T85" i="27"/>
  <c r="T83" i="27"/>
  <c r="T82" i="27"/>
  <c r="T81" i="27"/>
  <c r="T79" i="27"/>
  <c r="T78" i="27"/>
  <c r="T208" i="27" l="1"/>
  <c r="T124" i="27"/>
  <c r="Y135" i="27" s="1"/>
  <c r="T196" i="27"/>
  <c r="T112" i="27"/>
  <c r="T184" i="27"/>
  <c r="T100" i="27"/>
  <c r="T160" i="27"/>
  <c r="T136" i="27"/>
  <c r="Y147" i="27" s="1"/>
  <c r="Y87" i="28"/>
  <c r="T208" i="28"/>
  <c r="T184" i="28"/>
  <c r="Y195" i="28" s="1"/>
  <c r="T160" i="28"/>
  <c r="Y171" i="28" s="1"/>
  <c r="T124" i="28"/>
  <c r="Y135" i="28" s="1"/>
  <c r="T196" i="28"/>
  <c r="Y207" i="28" s="1"/>
  <c r="T136" i="28"/>
  <c r="Y147" i="28" s="1"/>
  <c r="T112" i="28"/>
  <c r="Y123" i="28" s="1"/>
  <c r="D100" i="28"/>
  <c r="D112" i="28" s="1"/>
  <c r="D124" i="28" s="1"/>
  <c r="T99" i="28"/>
  <c r="T98" i="28"/>
  <c r="T97" i="28"/>
  <c r="T96" i="28"/>
  <c r="T95" i="28"/>
  <c r="T94" i="28"/>
  <c r="T93" i="28"/>
  <c r="T92" i="28"/>
  <c r="T91" i="28"/>
  <c r="T90" i="28"/>
  <c r="T89" i="28"/>
  <c r="T100" i="28"/>
  <c r="Y111" i="28" s="1"/>
  <c r="D99" i="28"/>
  <c r="D111" i="28" s="1"/>
  <c r="D123" i="28" s="1"/>
  <c r="D135" i="28" s="1"/>
  <c r="D98" i="28"/>
  <c r="D110" i="28" s="1"/>
  <c r="D122" i="28" s="1"/>
  <c r="D134" i="28" s="1"/>
  <c r="D97" i="28"/>
  <c r="D109" i="28" s="1"/>
  <c r="D121" i="28" s="1"/>
  <c r="D133" i="28" s="1"/>
  <c r="D96" i="28"/>
  <c r="D108" i="28" s="1"/>
  <c r="D120" i="28" s="1"/>
  <c r="D132" i="28" s="1"/>
  <c r="D95" i="28"/>
  <c r="D107" i="28" s="1"/>
  <c r="D119" i="28" s="1"/>
  <c r="D131" i="28" s="1"/>
  <c r="D94" i="28"/>
  <c r="D106" i="28" s="1"/>
  <c r="D118" i="28" s="1"/>
  <c r="D130" i="28" s="1"/>
  <c r="D93" i="28"/>
  <c r="D105" i="28" s="1"/>
  <c r="D117" i="28" s="1"/>
  <c r="D129" i="28" s="1"/>
  <c r="D92" i="28"/>
  <c r="D104" i="28" s="1"/>
  <c r="D116" i="28" s="1"/>
  <c r="D128" i="28" s="1"/>
  <c r="D91" i="28"/>
  <c r="D103" i="28" s="1"/>
  <c r="D115" i="28" s="1"/>
  <c r="D127" i="28" s="1"/>
  <c r="D90" i="28"/>
  <c r="D102" i="28" s="1"/>
  <c r="D114" i="28" s="1"/>
  <c r="D126" i="28" s="1"/>
  <c r="D89" i="28"/>
  <c r="D101" i="28" s="1"/>
  <c r="D113" i="28" s="1"/>
  <c r="D125" i="28" s="1"/>
  <c r="D136" i="28" s="1"/>
  <c r="Y87" i="27"/>
  <c r="V30" i="8" s="1"/>
  <c r="Y195" i="27"/>
  <c r="Y207" i="27"/>
  <c r="Y123" i="27"/>
  <c r="D100" i="27"/>
  <c r="D112" i="27" s="1"/>
  <c r="D124" i="27" s="1"/>
  <c r="T99" i="27"/>
  <c r="T98" i="27"/>
  <c r="T97" i="27"/>
  <c r="T96" i="27"/>
  <c r="T95" i="27"/>
  <c r="T94" i="27"/>
  <c r="T93" i="27"/>
  <c r="T92" i="27"/>
  <c r="T91" i="27"/>
  <c r="T90" i="27"/>
  <c r="T89" i="27"/>
  <c r="Y99" i="27" s="1"/>
  <c r="Y171" i="27"/>
  <c r="Y111" i="27"/>
  <c r="D99" i="27"/>
  <c r="D111" i="27" s="1"/>
  <c r="D123" i="27" s="1"/>
  <c r="D135" i="27" s="1"/>
  <c r="D98" i="27"/>
  <c r="D110" i="27" s="1"/>
  <c r="D122" i="27" s="1"/>
  <c r="D134" i="27" s="1"/>
  <c r="D97" i="27"/>
  <c r="D109" i="27" s="1"/>
  <c r="D121" i="27" s="1"/>
  <c r="D133" i="27" s="1"/>
  <c r="D96" i="27"/>
  <c r="D108" i="27" s="1"/>
  <c r="D120" i="27" s="1"/>
  <c r="D132" i="27" s="1"/>
  <c r="D95" i="27"/>
  <c r="D107" i="27" s="1"/>
  <c r="D119" i="27" s="1"/>
  <c r="D131" i="27" s="1"/>
  <c r="D94" i="27"/>
  <c r="D106" i="27" s="1"/>
  <c r="D118" i="27" s="1"/>
  <c r="D130" i="27" s="1"/>
  <c r="D93" i="27"/>
  <c r="D105" i="27" s="1"/>
  <c r="D117" i="27" s="1"/>
  <c r="D129" i="27" s="1"/>
  <c r="D92" i="27"/>
  <c r="D104" i="27" s="1"/>
  <c r="D116" i="27" s="1"/>
  <c r="D128" i="27" s="1"/>
  <c r="D91" i="27"/>
  <c r="D103" i="27" s="1"/>
  <c r="D115" i="27" s="1"/>
  <c r="D127" i="27" s="1"/>
  <c r="D90" i="27"/>
  <c r="D102" i="27" s="1"/>
  <c r="D114" i="27" s="1"/>
  <c r="D126" i="27" s="1"/>
  <c r="D89" i="27"/>
  <c r="D101" i="27" s="1"/>
  <c r="D113" i="27" s="1"/>
  <c r="D125" i="27" s="1"/>
  <c r="D136" i="27" s="1"/>
  <c r="N146" i="5"/>
  <c r="N142" i="5"/>
  <c r="S138" i="5"/>
  <c r="R138" i="5"/>
  <c r="Q138" i="5"/>
  <c r="U144" i="5" s="1"/>
  <c r="P138" i="5"/>
  <c r="U24" i="2"/>
  <c r="U23" i="2"/>
  <c r="U22" i="2"/>
  <c r="AG29" i="8"/>
  <c r="AG28" i="8"/>
  <c r="AG27" i="8"/>
  <c r="AE29" i="8"/>
  <c r="AE28" i="8"/>
  <c r="AE27" i="8"/>
  <c r="AC29" i="8"/>
  <c r="AC28" i="8"/>
  <c r="AC27" i="8"/>
  <c r="AA29" i="8"/>
  <c r="AA28" i="8"/>
  <c r="AA27" i="8"/>
  <c r="Y29" i="8"/>
  <c r="Y28" i="8"/>
  <c r="Y27" i="8"/>
  <c r="W29" i="8"/>
  <c r="W28" i="8"/>
  <c r="W27" i="8"/>
  <c r="U29" i="8"/>
  <c r="U28" i="8"/>
  <c r="U27" i="8"/>
  <c r="S29" i="8"/>
  <c r="S28" i="8"/>
  <c r="S27" i="8"/>
  <c r="Q29" i="8"/>
  <c r="Q28" i="8"/>
  <c r="Q27" i="8"/>
  <c r="O29" i="8"/>
  <c r="O28" i="8"/>
  <c r="O27" i="8"/>
  <c r="M28" i="8"/>
  <c r="M27" i="8"/>
  <c r="K29" i="8"/>
  <c r="K28" i="8"/>
  <c r="K27" i="8"/>
  <c r="F59" i="1"/>
  <c r="F48" i="1"/>
  <c r="F46" i="1" s="1"/>
  <c r="F40" i="1"/>
  <c r="F30" i="1"/>
  <c r="F21" i="1"/>
  <c r="F17" i="1"/>
  <c r="F8" i="1"/>
  <c r="F7" i="1"/>
  <c r="E17" i="30" s="1"/>
  <c r="Y99" i="28" l="1"/>
  <c r="F57" i="1"/>
  <c r="F32" i="1" s="1"/>
  <c r="C17" i="30"/>
  <c r="U142" i="5"/>
  <c r="T138" i="5" s="1"/>
  <c r="N138" i="5" s="1"/>
  <c r="Z219" i="28"/>
  <c r="T220" i="28"/>
  <c r="X30" i="8"/>
  <c r="Z30" i="8"/>
  <c r="AB30" i="8"/>
  <c r="AP31" i="7"/>
  <c r="AP30" i="8"/>
  <c r="AN30" i="8"/>
  <c r="AN31" i="7"/>
  <c r="AJ30" i="8"/>
  <c r="AJ31" i="7"/>
  <c r="AF30" i="8"/>
  <c r="AD30" i="8"/>
  <c r="S22" i="3"/>
  <c r="Z219" i="27"/>
  <c r="BY30" i="7" s="1"/>
  <c r="BZ30" i="7" s="1"/>
  <c r="T220" i="27"/>
  <c r="F9" i="1"/>
  <c r="F92" i="1"/>
  <c r="N306" i="5"/>
  <c r="T304" i="5"/>
  <c r="T302" i="5"/>
  <c r="N302" i="5"/>
  <c r="S298" i="5"/>
  <c r="R298" i="5"/>
  <c r="U306" i="5" s="1"/>
  <c r="Q298" i="5"/>
  <c r="P298" i="5"/>
  <c r="T122" i="5"/>
  <c r="T120" i="5"/>
  <c r="N120" i="5"/>
  <c r="T118" i="5"/>
  <c r="T116" i="5"/>
  <c r="N116" i="5"/>
  <c r="S112" i="5"/>
  <c r="R112" i="5"/>
  <c r="U120" i="5" s="1"/>
  <c r="Q112" i="5"/>
  <c r="U118" i="5" s="1"/>
  <c r="P112" i="5"/>
  <c r="U116" i="5" s="1"/>
  <c r="T92" i="5"/>
  <c r="T90" i="5"/>
  <c r="N90" i="5"/>
  <c r="T88" i="5"/>
  <c r="T86" i="5"/>
  <c r="N86" i="5"/>
  <c r="S82" i="5"/>
  <c r="U92" i="5" s="1"/>
  <c r="R82" i="5"/>
  <c r="U90" i="5" s="1"/>
  <c r="Q82" i="5"/>
  <c r="U88" i="5" s="1"/>
  <c r="P82" i="5"/>
  <c r="U86" i="5" s="1"/>
  <c r="T79" i="5"/>
  <c r="T77" i="5"/>
  <c r="N77" i="5"/>
  <c r="T75" i="5"/>
  <c r="T73" i="5"/>
  <c r="N73" i="5"/>
  <c r="S69" i="5"/>
  <c r="U79" i="5" s="1"/>
  <c r="R69" i="5"/>
  <c r="U77" i="5" s="1"/>
  <c r="Q69" i="5"/>
  <c r="U75" i="5" s="1"/>
  <c r="P69" i="5"/>
  <c r="U73" i="5" s="1"/>
  <c r="T65" i="5"/>
  <c r="T63" i="5"/>
  <c r="N63" i="5"/>
  <c r="T61" i="5"/>
  <c r="T59" i="5"/>
  <c r="N59" i="5"/>
  <c r="S55" i="5"/>
  <c r="U65" i="5" s="1"/>
  <c r="R55" i="5"/>
  <c r="U63" i="5" s="1"/>
  <c r="Q55" i="5"/>
  <c r="U61" i="5" s="1"/>
  <c r="P55" i="5"/>
  <c r="U59" i="5" s="1"/>
  <c r="T52" i="5"/>
  <c r="T50" i="5"/>
  <c r="N50" i="5"/>
  <c r="T48" i="5"/>
  <c r="T46" i="5"/>
  <c r="N46" i="5"/>
  <c r="S42" i="5"/>
  <c r="U52" i="5" s="1"/>
  <c r="R42" i="5"/>
  <c r="Q42" i="5"/>
  <c r="P42" i="5"/>
  <c r="T35" i="5"/>
  <c r="T33" i="5"/>
  <c r="N33" i="5"/>
  <c r="S29" i="5"/>
  <c r="U39" i="5" s="1"/>
  <c r="R29" i="5"/>
  <c r="Q29" i="5"/>
  <c r="U35" i="5" s="1"/>
  <c r="P29" i="5"/>
  <c r="K28" i="1"/>
  <c r="F75" i="1" l="1"/>
  <c r="U302" i="5"/>
  <c r="U122" i="5"/>
  <c r="U304" i="5"/>
  <c r="N29" i="5"/>
  <c r="U33" i="5"/>
  <c r="T29" i="5" s="1"/>
  <c r="AJ60" i="7"/>
  <c r="AJ61" i="7" s="1"/>
  <c r="AI32" i="7"/>
  <c r="AJ33" i="7"/>
  <c r="AI34" i="7" s="1"/>
  <c r="AJ31" i="8"/>
  <c r="AN31" i="8"/>
  <c r="AP60" i="7"/>
  <c r="AP61" i="7" s="1"/>
  <c r="AO32" i="7"/>
  <c r="AP33" i="7"/>
  <c r="AO34" i="7" s="1"/>
  <c r="F30" i="7"/>
  <c r="BP30" i="7"/>
  <c r="BQ30" i="7" s="1"/>
  <c r="CH30" i="7"/>
  <c r="CI30" i="7" s="1"/>
  <c r="CK30" i="7"/>
  <c r="BD30" i="7"/>
  <c r="BE30" i="7" s="1"/>
  <c r="BJ30" i="7"/>
  <c r="BK30" i="7" s="1"/>
  <c r="CW30" i="7"/>
  <c r="CE30" i="7"/>
  <c r="CF30" i="7" s="1"/>
  <c r="CB30" i="7"/>
  <c r="CC30" i="7" s="1"/>
  <c r="AR30" i="8"/>
  <c r="CT30" i="8" s="1"/>
  <c r="AR31" i="7"/>
  <c r="AM32" i="7"/>
  <c r="AN33" i="7"/>
  <c r="AM34" i="7" s="1"/>
  <c r="AN60" i="7"/>
  <c r="AN61" i="7" s="1"/>
  <c r="AP31" i="8"/>
  <c r="BA30" i="7"/>
  <c r="BB30" i="7" s="1"/>
  <c r="BV30" i="7"/>
  <c r="BW30" i="7" s="1"/>
  <c r="CN30" i="7"/>
  <c r="CQ30" i="7"/>
  <c r="BS30" i="7"/>
  <c r="BT30" i="7" s="1"/>
  <c r="BM30" i="7"/>
  <c r="BN30" i="7" s="1"/>
  <c r="BG30" i="7"/>
  <c r="BH30" i="7" s="1"/>
  <c r="CT30" i="7"/>
  <c r="U48" i="5"/>
  <c r="T55" i="5"/>
  <c r="N55" i="5" s="1"/>
  <c r="T69" i="5"/>
  <c r="N69" i="5" s="1"/>
  <c r="T82" i="5"/>
  <c r="N82" i="5" s="1"/>
  <c r="T112" i="5"/>
  <c r="N112" i="5" s="1"/>
  <c r="U46" i="5"/>
  <c r="U50" i="5"/>
  <c r="T298" i="5" l="1"/>
  <c r="N298" i="5" s="1"/>
  <c r="BP30" i="8"/>
  <c r="BQ30" i="8" s="1"/>
  <c r="BY30" i="8"/>
  <c r="BZ30" i="8" s="1"/>
  <c r="CB30" i="8"/>
  <c r="CC30" i="8" s="1"/>
  <c r="CH30" i="8"/>
  <c r="CI30" i="8" s="1"/>
  <c r="CE30" i="8"/>
  <c r="CF30" i="8" s="1"/>
  <c r="BJ30" i="8"/>
  <c r="BK30" i="8" s="1"/>
  <c r="BG30" i="8"/>
  <c r="BH30" i="8" s="1"/>
  <c r="BD30" i="8"/>
  <c r="BA30" i="8"/>
  <c r="F30" i="8"/>
  <c r="BV30" i="8"/>
  <c r="BW30" i="8" s="1"/>
  <c r="CR30" i="7"/>
  <c r="CR31" i="7" s="1"/>
  <c r="CQ31" i="7"/>
  <c r="AO32" i="8"/>
  <c r="AP33" i="8"/>
  <c r="AO34" i="8" s="1"/>
  <c r="AP63" i="8"/>
  <c r="CW30" i="8"/>
  <c r="AR31" i="8"/>
  <c r="AM32" i="8"/>
  <c r="AN63" i="8"/>
  <c r="AN33" i="8"/>
  <c r="AM34" i="8" s="1"/>
  <c r="BM30" i="8"/>
  <c r="BN30" i="8" s="1"/>
  <c r="CK30" i="8"/>
  <c r="CL30" i="8" s="1"/>
  <c r="CN30" i="8"/>
  <c r="BS30" i="8"/>
  <c r="BT30" i="8" s="1"/>
  <c r="CU30" i="7"/>
  <c r="CU31" i="7" s="1"/>
  <c r="CT31" i="7"/>
  <c r="CO30" i="7"/>
  <c r="CO31" i="7" s="1"/>
  <c r="CN31" i="7"/>
  <c r="CU30" i="8"/>
  <c r="AR60" i="7"/>
  <c r="AR61" i="7" s="1"/>
  <c r="AR33" i="7"/>
  <c r="AQ34" i="7" s="1"/>
  <c r="AQ32" i="7"/>
  <c r="CX30" i="7"/>
  <c r="CX31" i="7" s="1"/>
  <c r="CW31" i="7"/>
  <c r="CL30" i="7"/>
  <c r="CL31" i="7" s="1"/>
  <c r="CK31" i="7"/>
  <c r="AJ63" i="8"/>
  <c r="T39" i="3" s="1"/>
  <c r="D32" i="30" s="1"/>
  <c r="AJ33" i="8"/>
  <c r="AI34" i="8" s="1"/>
  <c r="AI32" i="8"/>
  <c r="CQ30" i="8"/>
  <c r="T42" i="5"/>
  <c r="N42" i="5" s="1"/>
  <c r="L42" i="5" s="1"/>
  <c r="AN64" i="8" l="1"/>
  <c r="V39" i="3"/>
  <c r="W19" i="1" s="1"/>
  <c r="AP64" i="8"/>
  <c r="W39" i="3"/>
  <c r="AJ64" i="8"/>
  <c r="CL33" i="7"/>
  <c r="CR30" i="8"/>
  <c r="CK33" i="7"/>
  <c r="CW33" i="7"/>
  <c r="CO33" i="7"/>
  <c r="CU33" i="7"/>
  <c r="CO30" i="8"/>
  <c r="AQ32" i="8"/>
  <c r="AR63" i="8"/>
  <c r="AR33" i="8"/>
  <c r="AQ34" i="8" s="1"/>
  <c r="CR33" i="7"/>
  <c r="CX33" i="7"/>
  <c r="CN33" i="7"/>
  <c r="CT33" i="7"/>
  <c r="CX30" i="8"/>
  <c r="CQ33" i="7"/>
  <c r="B46" i="7"/>
  <c r="B46" i="8" s="1"/>
  <c r="S24" i="3"/>
  <c r="AR64" i="8" l="1"/>
  <c r="X39" i="3"/>
  <c r="X19" i="1"/>
  <c r="W46" i="3"/>
  <c r="V46" i="3"/>
  <c r="S50" i="3"/>
  <c r="S42" i="3"/>
  <c r="U36" i="2"/>
  <c r="U26" i="2"/>
  <c r="E17" i="1"/>
  <c r="L87" i="26"/>
  <c r="L100" i="26" s="1"/>
  <c r="N39" i="26"/>
  <c r="N35" i="26" s="1"/>
  <c r="N25" i="26"/>
  <c r="N21" i="26" s="1"/>
  <c r="Q100" i="26"/>
  <c r="H18" i="1" s="1"/>
  <c r="R100" i="26"/>
  <c r="S100" i="26"/>
  <c r="T100" i="26"/>
  <c r="U100" i="26"/>
  <c r="V100" i="26"/>
  <c r="W100" i="26"/>
  <c r="X100" i="26"/>
  <c r="Y100" i="26"/>
  <c r="Z100" i="26"/>
  <c r="P100" i="26"/>
  <c r="AA100" i="26"/>
  <c r="Z35" i="26"/>
  <c r="Y35" i="26"/>
  <c r="X35" i="26"/>
  <c r="W35" i="26"/>
  <c r="V35" i="26"/>
  <c r="U35" i="26"/>
  <c r="T35" i="26"/>
  <c r="S35" i="26"/>
  <c r="R35" i="26"/>
  <c r="Q35" i="26"/>
  <c r="P35" i="26"/>
  <c r="Z21" i="26"/>
  <c r="Y21" i="26"/>
  <c r="X21" i="26"/>
  <c r="W21" i="26"/>
  <c r="V21" i="26"/>
  <c r="U21" i="26"/>
  <c r="T21" i="26"/>
  <c r="S21" i="26"/>
  <c r="R21" i="26"/>
  <c r="Q21" i="26"/>
  <c r="P21" i="26"/>
  <c r="Q42" i="3" l="1"/>
  <c r="Y19" i="1"/>
  <c r="X46" i="3"/>
  <c r="N42" i="3"/>
  <c r="J42" i="3"/>
  <c r="O42" i="3"/>
  <c r="M42" i="3"/>
  <c r="K42" i="3"/>
  <c r="I42" i="3"/>
  <c r="G42" i="3"/>
  <c r="P42" i="3"/>
  <c r="L42" i="3"/>
  <c r="H42" i="3"/>
  <c r="P18" i="25"/>
  <c r="Q18" i="25"/>
  <c r="AA26" i="25" s="1"/>
  <c r="R18" i="25"/>
  <c r="AA28" i="25" s="1"/>
  <c r="N22" i="25"/>
  <c r="N18" i="25" s="1"/>
  <c r="L18" i="25" s="1"/>
  <c r="AA24" i="25"/>
  <c r="P31" i="25"/>
  <c r="Q31" i="25"/>
  <c r="R31" i="25"/>
  <c r="N35" i="25"/>
  <c r="N39" i="25"/>
  <c r="P44" i="25"/>
  <c r="Q44" i="25"/>
  <c r="R44" i="25"/>
  <c r="N48" i="25"/>
  <c r="N52" i="25"/>
  <c r="N56" i="25"/>
  <c r="R36" i="2"/>
  <c r="Q36" i="2"/>
  <c r="T18" i="1"/>
  <c r="S18" i="1"/>
  <c r="CD29" i="7"/>
  <c r="CA29" i="7"/>
  <c r="BX29" i="7"/>
  <c r="BU29" i="7"/>
  <c r="BR29" i="7"/>
  <c r="BO29" i="7"/>
  <c r="BL29" i="7"/>
  <c r="BI29" i="7"/>
  <c r="BF29" i="7"/>
  <c r="CD28" i="7"/>
  <c r="CA28" i="7"/>
  <c r="BX28" i="7"/>
  <c r="BU28" i="7"/>
  <c r="BR28" i="7"/>
  <c r="BO28" i="7"/>
  <c r="BL28" i="7"/>
  <c r="BI28" i="7"/>
  <c r="BF28" i="7"/>
  <c r="BC28" i="7"/>
  <c r="CD27" i="7"/>
  <c r="P170" i="19"/>
  <c r="P158" i="19"/>
  <c r="AH56" i="7"/>
  <c r="AH55" i="7"/>
  <c r="AH54" i="7"/>
  <c r="AH53" i="7"/>
  <c r="AH52" i="7"/>
  <c r="AH51" i="7"/>
  <c r="AH50" i="7"/>
  <c r="AH49" i="7"/>
  <c r="AH48" i="7"/>
  <c r="AH47" i="7"/>
  <c r="AH46" i="7"/>
  <c r="AF53" i="7"/>
  <c r="H24" i="2"/>
  <c r="G24" i="2"/>
  <c r="G23" i="2"/>
  <c r="F24" i="2"/>
  <c r="F23" i="2"/>
  <c r="F22" i="2"/>
  <c r="P146" i="23"/>
  <c r="P134" i="23"/>
  <c r="P122" i="23"/>
  <c r="P110" i="23"/>
  <c r="P98" i="23"/>
  <c r="P86" i="23"/>
  <c r="P74" i="23"/>
  <c r="P62" i="23"/>
  <c r="P50" i="23"/>
  <c r="P38" i="23"/>
  <c r="P26" i="23"/>
  <c r="P14" i="23"/>
  <c r="G31" i="7"/>
  <c r="H31" i="7"/>
  <c r="CG29" i="8"/>
  <c r="R24" i="2" s="1"/>
  <c r="Q24" i="3"/>
  <c r="P24" i="3"/>
  <c r="O24" i="3"/>
  <c r="N24" i="3"/>
  <c r="M24" i="3"/>
  <c r="L24" i="3"/>
  <c r="K24" i="3"/>
  <c r="J24" i="3"/>
  <c r="N29" i="8"/>
  <c r="M29" i="8"/>
  <c r="I24" i="3" s="1"/>
  <c r="L29" i="8"/>
  <c r="H24" i="3"/>
  <c r="J29" i="8"/>
  <c r="I29" i="8"/>
  <c r="G24" i="3" s="1"/>
  <c r="H29" i="8"/>
  <c r="G29" i="8"/>
  <c r="F24" i="3" s="1"/>
  <c r="D29" i="8"/>
  <c r="C29" i="8"/>
  <c r="A29" i="8"/>
  <c r="C24" i="3" s="1"/>
  <c r="Q23" i="3"/>
  <c r="P23" i="3"/>
  <c r="O23" i="3"/>
  <c r="N23" i="3"/>
  <c r="M23" i="3"/>
  <c r="L23" i="3"/>
  <c r="K23" i="3"/>
  <c r="J23" i="3"/>
  <c r="I23" i="3"/>
  <c r="L28" i="8"/>
  <c r="H23" i="3"/>
  <c r="J28" i="8"/>
  <c r="I28" i="8"/>
  <c r="G23" i="3" s="1"/>
  <c r="H28" i="8"/>
  <c r="G28" i="8"/>
  <c r="F23" i="3" s="1"/>
  <c r="D28" i="8"/>
  <c r="C28" i="8"/>
  <c r="A28" i="8"/>
  <c r="C23" i="3" s="1"/>
  <c r="CG27" i="8"/>
  <c r="R22" i="3"/>
  <c r="Q22" i="3"/>
  <c r="P22" i="3"/>
  <c r="O22" i="3"/>
  <c r="N22" i="3"/>
  <c r="M22" i="3"/>
  <c r="L22" i="3"/>
  <c r="K22" i="3"/>
  <c r="J22" i="3"/>
  <c r="I22" i="3"/>
  <c r="H22" i="3"/>
  <c r="J27" i="8"/>
  <c r="I27" i="8"/>
  <c r="G22" i="3" s="1"/>
  <c r="H27" i="8"/>
  <c r="G27" i="8"/>
  <c r="F22" i="3" s="1"/>
  <c r="D27" i="8"/>
  <c r="C27" i="8"/>
  <c r="A27" i="8"/>
  <c r="C22" i="2" s="1"/>
  <c r="B28" i="8"/>
  <c r="B27" i="8"/>
  <c r="P26" i="22"/>
  <c r="P14" i="22"/>
  <c r="D147" i="23"/>
  <c r="D148" i="23" s="1"/>
  <c r="D159" i="23" s="1"/>
  <c r="D146" i="23"/>
  <c r="D145" i="23"/>
  <c r="D144" i="23"/>
  <c r="D143" i="23"/>
  <c r="D142" i="23"/>
  <c r="D141" i="23"/>
  <c r="D140" i="23"/>
  <c r="D139" i="23"/>
  <c r="D138" i="23"/>
  <c r="D137" i="23"/>
  <c r="D5" i="23"/>
  <c r="D6" i="23" s="1"/>
  <c r="D7" i="23" s="1"/>
  <c r="D8" i="23" s="1"/>
  <c r="D9" i="23" s="1"/>
  <c r="D10" i="23" s="1"/>
  <c r="D11" i="23" s="1"/>
  <c r="D12" i="23" s="1"/>
  <c r="D13" i="23" s="1"/>
  <c r="D14" i="23" s="1"/>
  <c r="D15" i="23" s="1"/>
  <c r="D16" i="23" s="1"/>
  <c r="AA2" i="23"/>
  <c r="AA3" i="23" s="1"/>
  <c r="D147" i="22"/>
  <c r="D148" i="22" s="1"/>
  <c r="D159" i="22" s="1"/>
  <c r="D146" i="22"/>
  <c r="D145" i="22"/>
  <c r="D144" i="22"/>
  <c r="D143" i="22"/>
  <c r="D142" i="22"/>
  <c r="D141" i="22"/>
  <c r="D140" i="22"/>
  <c r="D139" i="22"/>
  <c r="D138" i="22"/>
  <c r="D137" i="22"/>
  <c r="D5" i="22"/>
  <c r="D6" i="22" s="1"/>
  <c r="D7" i="22" s="1"/>
  <c r="D8" i="22" s="1"/>
  <c r="D9" i="22" s="1"/>
  <c r="D10" i="22" s="1"/>
  <c r="D11" i="22" s="1"/>
  <c r="D12" i="22" s="1"/>
  <c r="D13" i="22" s="1"/>
  <c r="D14" i="22" s="1"/>
  <c r="D15" i="22" s="1"/>
  <c r="D16" i="22" s="1"/>
  <c r="AA3" i="22"/>
  <c r="E29" i="7"/>
  <c r="E28" i="7"/>
  <c r="AU29" i="7"/>
  <c r="AU28" i="7"/>
  <c r="AA2" i="21"/>
  <c r="AA3" i="21" s="1"/>
  <c r="D147" i="21"/>
  <c r="D148" i="21" s="1"/>
  <c r="D146" i="21"/>
  <c r="D145" i="21"/>
  <c r="D144" i="21"/>
  <c r="D143" i="21"/>
  <c r="D142" i="21"/>
  <c r="D141" i="21"/>
  <c r="D140" i="21"/>
  <c r="D139" i="21"/>
  <c r="D138" i="21"/>
  <c r="D137" i="21"/>
  <c r="D5" i="21"/>
  <c r="D6" i="21" s="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L136" i="4"/>
  <c r="Q132" i="4"/>
  <c r="Q136" i="4"/>
  <c r="AH42" i="7"/>
  <c r="AG42" i="7"/>
  <c r="AG58" i="7" s="1"/>
  <c r="AF42" i="7"/>
  <c r="AE42" i="7"/>
  <c r="AE58" i="7" s="1"/>
  <c r="AD42" i="7"/>
  <c r="AC42" i="7"/>
  <c r="AC58" i="7" s="1"/>
  <c r="AB42" i="7"/>
  <c r="AA42" i="7"/>
  <c r="AA58" i="7" s="1"/>
  <c r="Z42" i="7"/>
  <c r="Y42" i="7"/>
  <c r="Y58" i="7" s="1"/>
  <c r="X42" i="7"/>
  <c r="W42" i="7"/>
  <c r="W58" i="7" s="1"/>
  <c r="V42" i="7"/>
  <c r="U42" i="7"/>
  <c r="U58" i="7" s="1"/>
  <c r="T42" i="7"/>
  <c r="S42" i="7"/>
  <c r="S58" i="7" s="1"/>
  <c r="R42" i="7"/>
  <c r="Q42" i="7"/>
  <c r="Q58" i="7" s="1"/>
  <c r="P42" i="7"/>
  <c r="O42" i="7"/>
  <c r="O58" i="7" s="1"/>
  <c r="N42" i="7"/>
  <c r="L42" i="7"/>
  <c r="J42" i="7"/>
  <c r="J58" i="7" s="1"/>
  <c r="I42" i="7"/>
  <c r="I58" i="7" s="1"/>
  <c r="H42" i="7"/>
  <c r="H58" i="7" s="1"/>
  <c r="G42" i="7"/>
  <c r="G58" i="7" s="1"/>
  <c r="I32" i="20"/>
  <c r="F12" i="20"/>
  <c r="F17" i="20" s="1"/>
  <c r="E12" i="20"/>
  <c r="E17" i="20" s="1"/>
  <c r="G4" i="20"/>
  <c r="I4" i="20" s="1"/>
  <c r="K4" i="20" s="1"/>
  <c r="M4" i="20" s="1"/>
  <c r="O4" i="20" s="1"/>
  <c r="Q4" i="20" s="1"/>
  <c r="S4" i="20" s="1"/>
  <c r="U4" i="20" s="1"/>
  <c r="W4" i="20" s="1"/>
  <c r="Y4" i="20" s="1"/>
  <c r="AA4" i="20" s="1"/>
  <c r="AC4" i="20" s="1"/>
  <c r="AA54" i="25" l="1"/>
  <c r="R325" i="25"/>
  <c r="AA52" i="25"/>
  <c r="Q325" i="25"/>
  <c r="P325" i="25"/>
  <c r="D22" i="3"/>
  <c r="AA50" i="25"/>
  <c r="H16" i="1"/>
  <c r="AA39" i="25"/>
  <c r="AA41" i="25"/>
  <c r="AA37" i="25"/>
  <c r="CW53" i="7"/>
  <c r="CX53" i="7" s="1"/>
  <c r="CT53" i="7"/>
  <c r="CU53" i="7" s="1"/>
  <c r="CQ53" i="7"/>
  <c r="CR53" i="7" s="1"/>
  <c r="CN53" i="7"/>
  <c r="CO53" i="7" s="1"/>
  <c r="CK53" i="7"/>
  <c r="CL53" i="7" s="1"/>
  <c r="CL27" i="8"/>
  <c r="CH53" i="7"/>
  <c r="CI53" i="7" s="1"/>
  <c r="CG28" i="8"/>
  <c r="R23" i="2" s="1"/>
  <c r="S23" i="3"/>
  <c r="CD28" i="8"/>
  <c r="Q23" i="2" s="1"/>
  <c r="P172" i="22"/>
  <c r="E28" i="8"/>
  <c r="E27" i="8"/>
  <c r="N31" i="25"/>
  <c r="L31" i="25" s="1"/>
  <c r="L325" i="25" s="1"/>
  <c r="Z44" i="25"/>
  <c r="N44" i="25"/>
  <c r="Z31" i="25"/>
  <c r="Z18" i="25"/>
  <c r="R22" i="2"/>
  <c r="CD29" i="8"/>
  <c r="Q24" i="2" s="1"/>
  <c r="C22" i="3"/>
  <c r="CD27" i="8"/>
  <c r="C23" i="2"/>
  <c r="R23" i="3"/>
  <c r="C24" i="2"/>
  <c r="R24" i="3"/>
  <c r="D24" i="3" s="1"/>
  <c r="BC28" i="8"/>
  <c r="BF28" i="8"/>
  <c r="BI28" i="8"/>
  <c r="BL28" i="8"/>
  <c r="BO28" i="8"/>
  <c r="BR28" i="8"/>
  <c r="BU28" i="8"/>
  <c r="BX28" i="8"/>
  <c r="CA28" i="8"/>
  <c r="AZ27" i="8"/>
  <c r="BC27" i="8"/>
  <c r="BF27" i="8"/>
  <c r="BI27" i="8"/>
  <c r="BL27" i="8"/>
  <c r="BO27" i="8"/>
  <c r="BR27" i="8"/>
  <c r="BU27" i="8"/>
  <c r="BX27" i="8"/>
  <c r="CA27" i="8"/>
  <c r="CA29" i="8"/>
  <c r="P24" i="2" s="1"/>
  <c r="BX29" i="8"/>
  <c r="O24" i="2" s="1"/>
  <c r="BU29" i="8"/>
  <c r="N24" i="2" s="1"/>
  <c r="BR29" i="8"/>
  <c r="M24" i="2" s="1"/>
  <c r="BO29" i="8"/>
  <c r="L24" i="2" s="1"/>
  <c r="BL29" i="8"/>
  <c r="K24" i="2" s="1"/>
  <c r="BI29" i="8"/>
  <c r="J24" i="2" s="1"/>
  <c r="P172" i="23"/>
  <c r="BF29" i="8"/>
  <c r="E29" i="8"/>
  <c r="B29" i="8"/>
  <c r="D27" i="23"/>
  <c r="D28" i="23"/>
  <c r="D26" i="23"/>
  <c r="D25" i="23"/>
  <c r="D24" i="23"/>
  <c r="D23" i="23"/>
  <c r="D22" i="23"/>
  <c r="D21" i="23"/>
  <c r="D20" i="23"/>
  <c r="D19" i="23"/>
  <c r="D18" i="23"/>
  <c r="D17" i="23"/>
  <c r="D160" i="23"/>
  <c r="D149" i="23"/>
  <c r="D150" i="23"/>
  <c r="D151" i="23"/>
  <c r="D152" i="23"/>
  <c r="D153" i="23"/>
  <c r="D154" i="23"/>
  <c r="D155" i="23"/>
  <c r="D156" i="23"/>
  <c r="D157" i="23"/>
  <c r="D158" i="23"/>
  <c r="D27" i="22"/>
  <c r="D28" i="22"/>
  <c r="D26" i="22"/>
  <c r="D25" i="22"/>
  <c r="D24" i="22"/>
  <c r="D23" i="22"/>
  <c r="D22" i="22"/>
  <c r="D21" i="22"/>
  <c r="D20" i="22"/>
  <c r="D19" i="22"/>
  <c r="D18" i="22"/>
  <c r="D17" i="22"/>
  <c r="D160" i="22"/>
  <c r="D149" i="22"/>
  <c r="D150" i="22"/>
  <c r="D151" i="22"/>
  <c r="D152" i="22"/>
  <c r="D153" i="22"/>
  <c r="D154" i="22"/>
  <c r="D155" i="22"/>
  <c r="D156" i="22"/>
  <c r="D157" i="22"/>
  <c r="D158" i="22"/>
  <c r="D160" i="21"/>
  <c r="D158" i="21"/>
  <c r="D157" i="21"/>
  <c r="D156" i="21"/>
  <c r="D155" i="21"/>
  <c r="D154" i="21"/>
  <c r="D153" i="21"/>
  <c r="D152" i="21"/>
  <c r="D151" i="21"/>
  <c r="D150" i="21"/>
  <c r="D149" i="21"/>
  <c r="D159" i="21"/>
  <c r="D27" i="21"/>
  <c r="D28" i="21"/>
  <c r="D26" i="21"/>
  <c r="D25" i="21"/>
  <c r="D24" i="21"/>
  <c r="D23" i="21"/>
  <c r="D22" i="21"/>
  <c r="D21" i="21"/>
  <c r="D20" i="21"/>
  <c r="D19" i="21"/>
  <c r="D18" i="21"/>
  <c r="D17" i="21"/>
  <c r="G51" i="3"/>
  <c r="R50" i="3"/>
  <c r="Q50" i="3"/>
  <c r="P50" i="3"/>
  <c r="O50" i="3"/>
  <c r="N50" i="3"/>
  <c r="M50" i="3"/>
  <c r="L50" i="3"/>
  <c r="K50" i="3"/>
  <c r="J50" i="3"/>
  <c r="I50" i="3"/>
  <c r="H50" i="3"/>
  <c r="G50" i="3"/>
  <c r="F51" i="3"/>
  <c r="F50" i="3"/>
  <c r="F49" i="3"/>
  <c r="R42" i="3"/>
  <c r="P134" i="15"/>
  <c r="P134" i="14"/>
  <c r="P146" i="14"/>
  <c r="P146" i="13"/>
  <c r="P134" i="13"/>
  <c r="P134" i="12"/>
  <c r="P134" i="11"/>
  <c r="P146" i="9"/>
  <c r="P134" i="9"/>
  <c r="D23" i="3" l="1"/>
  <c r="Q22" i="2"/>
  <c r="O23" i="2"/>
  <c r="M23" i="2"/>
  <c r="K23" i="2"/>
  <c r="I23" i="2"/>
  <c r="P23" i="2"/>
  <c r="N23" i="2"/>
  <c r="L23" i="2"/>
  <c r="J23" i="2"/>
  <c r="H23" i="2"/>
  <c r="O22" i="2"/>
  <c r="M22" i="2"/>
  <c r="K22" i="2"/>
  <c r="I22" i="2"/>
  <c r="G22" i="2"/>
  <c r="P22" i="2"/>
  <c r="N22" i="2"/>
  <c r="L22" i="2"/>
  <c r="J22" i="2"/>
  <c r="H22" i="2"/>
  <c r="I24" i="2"/>
  <c r="D171" i="23"/>
  <c r="D170" i="23"/>
  <c r="D169" i="23"/>
  <c r="D168" i="23"/>
  <c r="D167" i="23"/>
  <c r="D166" i="23"/>
  <c r="D165" i="23"/>
  <c r="D164" i="23"/>
  <c r="D163" i="23"/>
  <c r="D162" i="23"/>
  <c r="D161" i="23"/>
  <c r="D39" i="23"/>
  <c r="D40" i="23"/>
  <c r="D38" i="23"/>
  <c r="D37" i="23"/>
  <c r="D36" i="23"/>
  <c r="D35" i="23"/>
  <c r="D34" i="23"/>
  <c r="D33" i="23"/>
  <c r="D32" i="23"/>
  <c r="D31" i="23"/>
  <c r="D30" i="23"/>
  <c r="D29" i="23"/>
  <c r="D171" i="22"/>
  <c r="D170" i="22"/>
  <c r="D169" i="22"/>
  <c r="D168" i="22"/>
  <c r="D167" i="22"/>
  <c r="D166" i="22"/>
  <c r="D165" i="22"/>
  <c r="D164" i="22"/>
  <c r="D163" i="22"/>
  <c r="D162" i="22"/>
  <c r="D161" i="22"/>
  <c r="D39" i="22"/>
  <c r="D40" i="22"/>
  <c r="D38" i="22"/>
  <c r="D37" i="22"/>
  <c r="D36" i="22"/>
  <c r="D35" i="22"/>
  <c r="D34" i="22"/>
  <c r="D33" i="22"/>
  <c r="D32" i="22"/>
  <c r="D31" i="22"/>
  <c r="D30" i="22"/>
  <c r="D29" i="22"/>
  <c r="D39" i="21"/>
  <c r="D40" i="21"/>
  <c r="D38" i="21"/>
  <c r="D37" i="21"/>
  <c r="D36" i="21"/>
  <c r="D35" i="21"/>
  <c r="D34" i="21"/>
  <c r="D33" i="21"/>
  <c r="D32" i="21"/>
  <c r="D31" i="21"/>
  <c r="D30" i="21"/>
  <c r="D29" i="21"/>
  <c r="D170" i="21"/>
  <c r="D169" i="21"/>
  <c r="D168" i="21"/>
  <c r="D167" i="21"/>
  <c r="D166" i="21"/>
  <c r="D165" i="21"/>
  <c r="D164" i="21"/>
  <c r="D163" i="21"/>
  <c r="D162" i="21"/>
  <c r="D161" i="21"/>
  <c r="D171" i="21"/>
  <c r="P122" i="13"/>
  <c r="P74" i="13"/>
  <c r="P62" i="13"/>
  <c r="P50" i="13"/>
  <c r="P38" i="13"/>
  <c r="P26" i="13"/>
  <c r="P14" i="13"/>
  <c r="D147" i="13"/>
  <c r="D148" i="13" s="1"/>
  <c r="D146" i="13"/>
  <c r="D145" i="13"/>
  <c r="D144" i="13"/>
  <c r="D143" i="13"/>
  <c r="D142" i="13"/>
  <c r="D141" i="13"/>
  <c r="D140" i="13"/>
  <c r="D139" i="13"/>
  <c r="D138" i="13"/>
  <c r="D137" i="13"/>
  <c r="D5" i="13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AA3" i="13"/>
  <c r="P146" i="19"/>
  <c r="P122" i="19"/>
  <c r="P110" i="19"/>
  <c r="P98" i="19"/>
  <c r="P86" i="19"/>
  <c r="P74" i="19"/>
  <c r="P62" i="19"/>
  <c r="P50" i="19"/>
  <c r="P38" i="19"/>
  <c r="P26" i="19"/>
  <c r="P14" i="19"/>
  <c r="P146" i="18"/>
  <c r="P122" i="18"/>
  <c r="P110" i="18"/>
  <c r="P98" i="18"/>
  <c r="P86" i="18"/>
  <c r="P74" i="18"/>
  <c r="P62" i="18"/>
  <c r="P50" i="18"/>
  <c r="P38" i="18"/>
  <c r="P26" i="18"/>
  <c r="P14" i="18"/>
  <c r="P146" i="17"/>
  <c r="P122" i="17"/>
  <c r="P110" i="17"/>
  <c r="P98" i="17"/>
  <c r="P86" i="17"/>
  <c r="P74" i="17"/>
  <c r="P62" i="17"/>
  <c r="P50" i="17"/>
  <c r="P38" i="17"/>
  <c r="P26" i="17"/>
  <c r="P14" i="17"/>
  <c r="P146" i="16"/>
  <c r="P122" i="16"/>
  <c r="P110" i="16"/>
  <c r="P98" i="16"/>
  <c r="P86" i="16"/>
  <c r="P74" i="16"/>
  <c r="P62" i="16"/>
  <c r="P50" i="16"/>
  <c r="P38" i="16"/>
  <c r="P26" i="16"/>
  <c r="P14" i="16"/>
  <c r="P146" i="15"/>
  <c r="P110" i="15"/>
  <c r="P98" i="15"/>
  <c r="P86" i="15"/>
  <c r="P74" i="15"/>
  <c r="P62" i="15"/>
  <c r="P50" i="15"/>
  <c r="P38" i="15"/>
  <c r="P26" i="15"/>
  <c r="P14" i="15"/>
  <c r="P122" i="14"/>
  <c r="P98" i="14"/>
  <c r="P86" i="14"/>
  <c r="P74" i="14"/>
  <c r="P62" i="14"/>
  <c r="P50" i="14"/>
  <c r="P38" i="14"/>
  <c r="P26" i="14"/>
  <c r="P14" i="14"/>
  <c r="P146" i="12"/>
  <c r="P122" i="12"/>
  <c r="P74" i="12"/>
  <c r="P62" i="12"/>
  <c r="P50" i="12"/>
  <c r="P38" i="12"/>
  <c r="P26" i="12"/>
  <c r="P14" i="12"/>
  <c r="P146" i="11"/>
  <c r="P122" i="11"/>
  <c r="P110" i="11"/>
  <c r="P74" i="11"/>
  <c r="P62" i="11"/>
  <c r="P50" i="11"/>
  <c r="P38" i="11"/>
  <c r="P26" i="11"/>
  <c r="P14" i="11"/>
  <c r="D147" i="19"/>
  <c r="D148" i="19" s="1"/>
  <c r="D146" i="19"/>
  <c r="D145" i="19"/>
  <c r="D144" i="19"/>
  <c r="D143" i="19"/>
  <c r="D142" i="19"/>
  <c r="D141" i="19"/>
  <c r="D140" i="19"/>
  <c r="D139" i="19"/>
  <c r="D138" i="19"/>
  <c r="D137" i="19"/>
  <c r="D5" i="19"/>
  <c r="D6" i="19" s="1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AA3" i="19"/>
  <c r="D147" i="18"/>
  <c r="D148" i="18" s="1"/>
  <c r="D146" i="18"/>
  <c r="D145" i="18"/>
  <c r="D144" i="18"/>
  <c r="D143" i="18"/>
  <c r="D142" i="18"/>
  <c r="D141" i="18"/>
  <c r="D140" i="18"/>
  <c r="D139" i="18"/>
  <c r="D138" i="18"/>
  <c r="D137" i="18"/>
  <c r="D5" i="18"/>
  <c r="D6" i="18" s="1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AA3" i="18"/>
  <c r="D148" i="17"/>
  <c r="D160" i="17" s="1"/>
  <c r="D147" i="17"/>
  <c r="D146" i="17"/>
  <c r="D145" i="17"/>
  <c r="D144" i="17"/>
  <c r="D143" i="17"/>
  <c r="D142" i="17"/>
  <c r="D141" i="17"/>
  <c r="D140" i="17"/>
  <c r="D139" i="17"/>
  <c r="D138" i="17"/>
  <c r="D137" i="17"/>
  <c r="D5" i="17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AA3" i="17"/>
  <c r="D147" i="16"/>
  <c r="D148" i="16" s="1"/>
  <c r="D146" i="16"/>
  <c r="D145" i="16"/>
  <c r="D144" i="16"/>
  <c r="D143" i="16"/>
  <c r="D142" i="16"/>
  <c r="D141" i="16"/>
  <c r="D140" i="16"/>
  <c r="D139" i="16"/>
  <c r="D138" i="16"/>
  <c r="D137" i="16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AA3" i="16"/>
  <c r="D147" i="15"/>
  <c r="D148" i="15" s="1"/>
  <c r="D146" i="15"/>
  <c r="D145" i="15"/>
  <c r="D144" i="15"/>
  <c r="D143" i="15"/>
  <c r="D142" i="15"/>
  <c r="D141" i="15"/>
  <c r="D140" i="15"/>
  <c r="D139" i="15"/>
  <c r="D138" i="15"/>
  <c r="D137" i="15"/>
  <c r="D5" i="15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AA3" i="15"/>
  <c r="D147" i="14"/>
  <c r="D148" i="14" s="1"/>
  <c r="D146" i="14"/>
  <c r="D145" i="14"/>
  <c r="D144" i="14"/>
  <c r="D143" i="14"/>
  <c r="D142" i="14"/>
  <c r="D141" i="14"/>
  <c r="D140" i="14"/>
  <c r="D139" i="14"/>
  <c r="D138" i="14"/>
  <c r="D137" i="14"/>
  <c r="D5" i="14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AA3" i="14"/>
  <c r="D147" i="12"/>
  <c r="D148" i="12" s="1"/>
  <c r="D146" i="12"/>
  <c r="D145" i="12"/>
  <c r="D144" i="12"/>
  <c r="D143" i="12"/>
  <c r="D142" i="12"/>
  <c r="D141" i="12"/>
  <c r="D140" i="12"/>
  <c r="D139" i="12"/>
  <c r="D138" i="12"/>
  <c r="D137" i="12"/>
  <c r="D5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AA3" i="12"/>
  <c r="D147" i="11"/>
  <c r="D148" i="11" s="1"/>
  <c r="D146" i="11"/>
  <c r="D145" i="11"/>
  <c r="D144" i="11"/>
  <c r="D143" i="11"/>
  <c r="D142" i="11"/>
  <c r="D141" i="11"/>
  <c r="D140" i="11"/>
  <c r="D139" i="11"/>
  <c r="D138" i="11"/>
  <c r="D137" i="11"/>
  <c r="D5" i="1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AA3" i="11"/>
  <c r="P146" i="10"/>
  <c r="P110" i="10"/>
  <c r="P86" i="10"/>
  <c r="P74" i="10"/>
  <c r="P62" i="10"/>
  <c r="P50" i="10"/>
  <c r="P38" i="10"/>
  <c r="P26" i="10"/>
  <c r="P14" i="10"/>
  <c r="D147" i="10"/>
  <c r="D148" i="10" s="1"/>
  <c r="D146" i="10"/>
  <c r="D145" i="10"/>
  <c r="D144" i="10"/>
  <c r="D143" i="10"/>
  <c r="D142" i="10"/>
  <c r="D141" i="10"/>
  <c r="D140" i="10"/>
  <c r="D139" i="10"/>
  <c r="D138" i="10"/>
  <c r="D137" i="10"/>
  <c r="D5" i="10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AA3" i="10"/>
  <c r="D149" i="9"/>
  <c r="D147" i="9"/>
  <c r="D146" i="9"/>
  <c r="D145" i="9"/>
  <c r="D144" i="9"/>
  <c r="D143" i="9"/>
  <c r="D142" i="9"/>
  <c r="D141" i="9"/>
  <c r="D140" i="9"/>
  <c r="D139" i="9"/>
  <c r="D138" i="9"/>
  <c r="D137" i="9"/>
  <c r="P122" i="9"/>
  <c r="D148" i="9"/>
  <c r="D160" i="9" s="1"/>
  <c r="P74" i="9"/>
  <c r="P62" i="9"/>
  <c r="P50" i="9"/>
  <c r="P38" i="9"/>
  <c r="P26" i="9"/>
  <c r="P14" i="9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AA3" i="9"/>
  <c r="D151" i="9" l="1"/>
  <c r="D153" i="9"/>
  <c r="D155" i="9"/>
  <c r="D157" i="9"/>
  <c r="D159" i="9"/>
  <c r="D150" i="9"/>
  <c r="D152" i="9"/>
  <c r="D154" i="9"/>
  <c r="D156" i="9"/>
  <c r="D158" i="9"/>
  <c r="D51" i="23"/>
  <c r="D52" i="23"/>
  <c r="T64" i="23" s="1"/>
  <c r="D50" i="23"/>
  <c r="D49" i="23"/>
  <c r="D48" i="23"/>
  <c r="D47" i="23"/>
  <c r="D46" i="23"/>
  <c r="D45" i="23"/>
  <c r="D44" i="23"/>
  <c r="D43" i="23"/>
  <c r="D42" i="23"/>
  <c r="D41" i="23"/>
  <c r="T170" i="23"/>
  <c r="T168" i="23"/>
  <c r="T166" i="23"/>
  <c r="T164" i="23"/>
  <c r="T162" i="23"/>
  <c r="T146" i="23"/>
  <c r="T132" i="23"/>
  <c r="T130" i="23"/>
  <c r="T128" i="23"/>
  <c r="T126" i="23"/>
  <c r="T120" i="23"/>
  <c r="T118" i="23"/>
  <c r="T116" i="23"/>
  <c r="T114" i="23"/>
  <c r="T108" i="23"/>
  <c r="T106" i="23"/>
  <c r="T104" i="23"/>
  <c r="T102" i="23"/>
  <c r="T60" i="23"/>
  <c r="T56" i="23"/>
  <c r="T52" i="23"/>
  <c r="T48" i="23"/>
  <c r="T46" i="23"/>
  <c r="T44" i="23"/>
  <c r="T42" i="23"/>
  <c r="T40" i="23"/>
  <c r="T36" i="23"/>
  <c r="T34" i="23"/>
  <c r="T32" i="23"/>
  <c r="T30" i="23"/>
  <c r="T28" i="23"/>
  <c r="T24" i="23"/>
  <c r="T22" i="23"/>
  <c r="T20" i="23"/>
  <c r="T18" i="23"/>
  <c r="T16" i="23"/>
  <c r="T12" i="23"/>
  <c r="T10" i="23"/>
  <c r="T8" i="23"/>
  <c r="T6" i="23"/>
  <c r="T4" i="23"/>
  <c r="T158" i="23"/>
  <c r="T156" i="23"/>
  <c r="T154" i="23"/>
  <c r="T152" i="23"/>
  <c r="T150" i="23"/>
  <c r="T144" i="23"/>
  <c r="T142" i="23"/>
  <c r="T140" i="23"/>
  <c r="T138" i="23"/>
  <c r="T134" i="23"/>
  <c r="T122" i="23"/>
  <c r="T110" i="23"/>
  <c r="T50" i="23"/>
  <c r="T38" i="23"/>
  <c r="T26" i="23"/>
  <c r="T14" i="23"/>
  <c r="T171" i="23"/>
  <c r="T169" i="23"/>
  <c r="T167" i="23"/>
  <c r="T165" i="23"/>
  <c r="T163" i="23"/>
  <c r="T161" i="23"/>
  <c r="T147" i="23"/>
  <c r="T133" i="23"/>
  <c r="T131" i="23"/>
  <c r="T129" i="23"/>
  <c r="T127" i="23"/>
  <c r="T125" i="23"/>
  <c r="T121" i="23"/>
  <c r="T119" i="23"/>
  <c r="T117" i="23"/>
  <c r="T115" i="23"/>
  <c r="T113" i="23"/>
  <c r="T109" i="23"/>
  <c r="T107" i="23"/>
  <c r="T105" i="23"/>
  <c r="T103" i="23"/>
  <c r="T101" i="23"/>
  <c r="T61" i="23"/>
  <c r="T57" i="23"/>
  <c r="T53" i="23"/>
  <c r="T49" i="23"/>
  <c r="T47" i="23"/>
  <c r="T45" i="23"/>
  <c r="T43" i="23"/>
  <c r="T41" i="23"/>
  <c r="T37" i="23"/>
  <c r="T35" i="23"/>
  <c r="T33" i="23"/>
  <c r="T31" i="23"/>
  <c r="T29" i="23"/>
  <c r="T25" i="23"/>
  <c r="T23" i="23"/>
  <c r="T21" i="23"/>
  <c r="T19" i="23"/>
  <c r="T17" i="23"/>
  <c r="T13" i="23"/>
  <c r="T11" i="23"/>
  <c r="T9" i="23"/>
  <c r="T7" i="23"/>
  <c r="T5" i="23"/>
  <c r="T159" i="23"/>
  <c r="T157" i="23"/>
  <c r="T155" i="23"/>
  <c r="T153" i="23"/>
  <c r="T151" i="23"/>
  <c r="T149" i="23"/>
  <c r="T145" i="23"/>
  <c r="T143" i="23"/>
  <c r="T141" i="23"/>
  <c r="T139" i="23"/>
  <c r="T137" i="23"/>
  <c r="T135" i="23"/>
  <c r="T123" i="23"/>
  <c r="T111" i="23"/>
  <c r="T51" i="23"/>
  <c r="T39" i="23"/>
  <c r="T27" i="23"/>
  <c r="T15" i="23"/>
  <c r="D51" i="22"/>
  <c r="D52" i="22"/>
  <c r="D50" i="22"/>
  <c r="D49" i="22"/>
  <c r="D48" i="22"/>
  <c r="D47" i="22"/>
  <c r="D46" i="22"/>
  <c r="D45" i="22"/>
  <c r="D44" i="22"/>
  <c r="D43" i="22"/>
  <c r="D42" i="22"/>
  <c r="D41" i="22"/>
  <c r="T170" i="22"/>
  <c r="T168" i="22"/>
  <c r="T166" i="22"/>
  <c r="T164" i="22"/>
  <c r="T162" i="22"/>
  <c r="T146" i="22"/>
  <c r="T132" i="22"/>
  <c r="T130" i="22"/>
  <c r="T128" i="22"/>
  <c r="T126" i="22"/>
  <c r="T120" i="22"/>
  <c r="T118" i="22"/>
  <c r="T116" i="22"/>
  <c r="T114" i="22"/>
  <c r="T108" i="22"/>
  <c r="T106" i="22"/>
  <c r="T104" i="22"/>
  <c r="T102" i="22"/>
  <c r="T64" i="22"/>
  <c r="T60" i="22"/>
  <c r="T58" i="22"/>
  <c r="T56" i="22"/>
  <c r="T54" i="22"/>
  <c r="T52" i="22"/>
  <c r="T48" i="22"/>
  <c r="T46" i="22"/>
  <c r="T44" i="22"/>
  <c r="T42" i="22"/>
  <c r="T40" i="22"/>
  <c r="T36" i="22"/>
  <c r="T34" i="22"/>
  <c r="T32" i="22"/>
  <c r="T30" i="22"/>
  <c r="T28" i="22"/>
  <c r="T24" i="22"/>
  <c r="T22" i="22"/>
  <c r="T20" i="22"/>
  <c r="T18" i="22"/>
  <c r="T16" i="22"/>
  <c r="T12" i="22"/>
  <c r="T10" i="22"/>
  <c r="T8" i="22"/>
  <c r="T6" i="22"/>
  <c r="T4" i="22"/>
  <c r="T158" i="22"/>
  <c r="T156" i="22"/>
  <c r="T154" i="22"/>
  <c r="T152" i="22"/>
  <c r="T150" i="22"/>
  <c r="T144" i="22"/>
  <c r="T142" i="22"/>
  <c r="T140" i="22"/>
  <c r="T138" i="22"/>
  <c r="T134" i="22"/>
  <c r="T122" i="22"/>
  <c r="T110" i="22"/>
  <c r="T62" i="22"/>
  <c r="T50" i="22"/>
  <c r="T38" i="22"/>
  <c r="T26" i="22"/>
  <c r="T14" i="22"/>
  <c r="T171" i="22"/>
  <c r="T169" i="22"/>
  <c r="T167" i="22"/>
  <c r="T165" i="22"/>
  <c r="T163" i="22"/>
  <c r="T161" i="22"/>
  <c r="T147" i="22"/>
  <c r="T133" i="22"/>
  <c r="T131" i="22"/>
  <c r="T129" i="22"/>
  <c r="T127" i="22"/>
  <c r="T125" i="22"/>
  <c r="T121" i="22"/>
  <c r="T119" i="22"/>
  <c r="T117" i="22"/>
  <c r="T115" i="22"/>
  <c r="T113" i="22"/>
  <c r="T109" i="22"/>
  <c r="T107" i="22"/>
  <c r="T105" i="22"/>
  <c r="T103" i="22"/>
  <c r="T101" i="22"/>
  <c r="T61" i="22"/>
  <c r="T59" i="22"/>
  <c r="T57" i="22"/>
  <c r="T55" i="22"/>
  <c r="T53" i="22"/>
  <c r="T49" i="22"/>
  <c r="T47" i="22"/>
  <c r="T45" i="22"/>
  <c r="T43" i="22"/>
  <c r="T41" i="22"/>
  <c r="T37" i="22"/>
  <c r="T35" i="22"/>
  <c r="T33" i="22"/>
  <c r="T31" i="22"/>
  <c r="T29" i="22"/>
  <c r="T25" i="22"/>
  <c r="T23" i="22"/>
  <c r="T21" i="22"/>
  <c r="T19" i="22"/>
  <c r="T17" i="22"/>
  <c r="T13" i="22"/>
  <c r="T11" i="22"/>
  <c r="T9" i="22"/>
  <c r="T7" i="22"/>
  <c r="T5" i="22"/>
  <c r="T159" i="22"/>
  <c r="T157" i="22"/>
  <c r="T155" i="22"/>
  <c r="T153" i="22"/>
  <c r="T151" i="22"/>
  <c r="T149" i="22"/>
  <c r="T145" i="22"/>
  <c r="T143" i="22"/>
  <c r="T141" i="22"/>
  <c r="T139" i="22"/>
  <c r="T137" i="22"/>
  <c r="T135" i="22"/>
  <c r="T123" i="22"/>
  <c r="T111" i="22"/>
  <c r="T63" i="22"/>
  <c r="T51" i="22"/>
  <c r="T39" i="22"/>
  <c r="T27" i="22"/>
  <c r="T15" i="22"/>
  <c r="D51" i="21"/>
  <c r="D52" i="21"/>
  <c r="D50" i="21"/>
  <c r="D49" i="21"/>
  <c r="D48" i="21"/>
  <c r="D47" i="21"/>
  <c r="D46" i="21"/>
  <c r="D45" i="21"/>
  <c r="D44" i="21"/>
  <c r="D43" i="21"/>
  <c r="D42" i="21"/>
  <c r="D41" i="21"/>
  <c r="P172" i="13"/>
  <c r="D160" i="13"/>
  <c r="D158" i="13"/>
  <c r="D157" i="13"/>
  <c r="D156" i="13"/>
  <c r="D155" i="13"/>
  <c r="D154" i="13"/>
  <c r="D153" i="13"/>
  <c r="D152" i="13"/>
  <c r="D151" i="13"/>
  <c r="D150" i="13"/>
  <c r="D149" i="13"/>
  <c r="D159" i="13"/>
  <c r="D27" i="13"/>
  <c r="D28" i="13"/>
  <c r="D26" i="13"/>
  <c r="D25" i="13"/>
  <c r="D24" i="13"/>
  <c r="D23" i="13"/>
  <c r="D22" i="13"/>
  <c r="D21" i="13"/>
  <c r="D20" i="13"/>
  <c r="D19" i="13"/>
  <c r="D18" i="13"/>
  <c r="D17" i="13"/>
  <c r="D27" i="19"/>
  <c r="D28" i="19"/>
  <c r="D26" i="19"/>
  <c r="D25" i="19"/>
  <c r="D24" i="19"/>
  <c r="D23" i="19"/>
  <c r="D22" i="19"/>
  <c r="D21" i="19"/>
  <c r="D20" i="19"/>
  <c r="D19" i="19"/>
  <c r="D18" i="19"/>
  <c r="D17" i="19"/>
  <c r="D160" i="19"/>
  <c r="D158" i="19"/>
  <c r="D157" i="19"/>
  <c r="D156" i="19"/>
  <c r="D155" i="19"/>
  <c r="D154" i="19"/>
  <c r="D153" i="19"/>
  <c r="D152" i="19"/>
  <c r="D151" i="19"/>
  <c r="D150" i="19"/>
  <c r="D149" i="19"/>
  <c r="D159" i="19"/>
  <c r="D27" i="18"/>
  <c r="D28" i="18"/>
  <c r="D26" i="18"/>
  <c r="D25" i="18"/>
  <c r="D24" i="18"/>
  <c r="D23" i="18"/>
  <c r="D22" i="18"/>
  <c r="D21" i="18"/>
  <c r="D20" i="18"/>
  <c r="D19" i="18"/>
  <c r="D18" i="18"/>
  <c r="D17" i="18"/>
  <c r="D160" i="18"/>
  <c r="D158" i="18"/>
  <c r="D157" i="18"/>
  <c r="D156" i="18"/>
  <c r="D155" i="18"/>
  <c r="D154" i="18"/>
  <c r="D153" i="18"/>
  <c r="D152" i="18"/>
  <c r="D151" i="18"/>
  <c r="D150" i="18"/>
  <c r="D149" i="18"/>
  <c r="D159" i="18"/>
  <c r="D28" i="17"/>
  <c r="D26" i="17"/>
  <c r="D25" i="17"/>
  <c r="D24" i="17"/>
  <c r="D23" i="17"/>
  <c r="D22" i="17"/>
  <c r="D21" i="17"/>
  <c r="D20" i="17"/>
  <c r="D19" i="17"/>
  <c r="D18" i="17"/>
  <c r="D17" i="17"/>
  <c r="D27" i="17"/>
  <c r="D170" i="17"/>
  <c r="D169" i="17"/>
  <c r="D168" i="17"/>
  <c r="D167" i="17"/>
  <c r="D166" i="17"/>
  <c r="D165" i="17"/>
  <c r="D164" i="17"/>
  <c r="D163" i="17"/>
  <c r="D162" i="17"/>
  <c r="D161" i="17"/>
  <c r="D171" i="17"/>
  <c r="D159" i="17"/>
  <c r="D149" i="17"/>
  <c r="D150" i="17"/>
  <c r="D151" i="17"/>
  <c r="D152" i="17"/>
  <c r="D153" i="17"/>
  <c r="D154" i="17"/>
  <c r="D155" i="17"/>
  <c r="D156" i="17"/>
  <c r="D157" i="17"/>
  <c r="D158" i="17"/>
  <c r="D27" i="16"/>
  <c r="D28" i="16"/>
  <c r="D26" i="16"/>
  <c r="D25" i="16"/>
  <c r="D24" i="16"/>
  <c r="D23" i="16"/>
  <c r="D22" i="16"/>
  <c r="D21" i="16"/>
  <c r="D20" i="16"/>
  <c r="D19" i="16"/>
  <c r="D18" i="16"/>
  <c r="D17" i="16"/>
  <c r="D160" i="16"/>
  <c r="D158" i="16"/>
  <c r="D157" i="16"/>
  <c r="D156" i="16"/>
  <c r="D155" i="16"/>
  <c r="D154" i="16"/>
  <c r="D153" i="16"/>
  <c r="D152" i="16"/>
  <c r="D151" i="16"/>
  <c r="D150" i="16"/>
  <c r="D149" i="16"/>
  <c r="D159" i="16"/>
  <c r="D28" i="15"/>
  <c r="D26" i="15"/>
  <c r="D25" i="15"/>
  <c r="D24" i="15"/>
  <c r="D23" i="15"/>
  <c r="D22" i="15"/>
  <c r="D21" i="15"/>
  <c r="D20" i="15"/>
  <c r="D19" i="15"/>
  <c r="D18" i="15"/>
  <c r="D17" i="15"/>
  <c r="D27" i="15"/>
  <c r="D160" i="15"/>
  <c r="D158" i="15"/>
  <c r="D157" i="15"/>
  <c r="D156" i="15"/>
  <c r="D155" i="15"/>
  <c r="D154" i="15"/>
  <c r="D153" i="15"/>
  <c r="D152" i="15"/>
  <c r="D151" i="15"/>
  <c r="D150" i="15"/>
  <c r="D149" i="15"/>
  <c r="D159" i="15"/>
  <c r="D27" i="14"/>
  <c r="D28" i="14"/>
  <c r="D26" i="14"/>
  <c r="D25" i="14"/>
  <c r="D24" i="14"/>
  <c r="D23" i="14"/>
  <c r="D22" i="14"/>
  <c r="D21" i="14"/>
  <c r="D20" i="14"/>
  <c r="D19" i="14"/>
  <c r="D18" i="14"/>
  <c r="D17" i="14"/>
  <c r="D160" i="14"/>
  <c r="D158" i="14"/>
  <c r="D157" i="14"/>
  <c r="D156" i="14"/>
  <c r="D155" i="14"/>
  <c r="D154" i="14"/>
  <c r="D153" i="14"/>
  <c r="D152" i="14"/>
  <c r="D151" i="14"/>
  <c r="D150" i="14"/>
  <c r="D149" i="14"/>
  <c r="D159" i="14"/>
  <c r="D27" i="12"/>
  <c r="D28" i="12"/>
  <c r="D26" i="12"/>
  <c r="D25" i="12"/>
  <c r="D24" i="12"/>
  <c r="D23" i="12"/>
  <c r="D22" i="12"/>
  <c r="D21" i="12"/>
  <c r="D20" i="12"/>
  <c r="D19" i="12"/>
  <c r="D18" i="12"/>
  <c r="D17" i="12"/>
  <c r="D160" i="12"/>
  <c r="D158" i="12"/>
  <c r="D157" i="12"/>
  <c r="D156" i="12"/>
  <c r="D155" i="12"/>
  <c r="D154" i="12"/>
  <c r="D153" i="12"/>
  <c r="D152" i="12"/>
  <c r="D151" i="12"/>
  <c r="D150" i="12"/>
  <c r="D149" i="12"/>
  <c r="D159" i="12"/>
  <c r="D27" i="11"/>
  <c r="D28" i="11"/>
  <c r="D26" i="11"/>
  <c r="D25" i="11"/>
  <c r="D24" i="11"/>
  <c r="D23" i="11"/>
  <c r="D22" i="11"/>
  <c r="D21" i="11"/>
  <c r="D20" i="11"/>
  <c r="D19" i="11"/>
  <c r="D18" i="11"/>
  <c r="D17" i="11"/>
  <c r="D160" i="11"/>
  <c r="D158" i="11"/>
  <c r="D157" i="11"/>
  <c r="D156" i="11"/>
  <c r="D155" i="11"/>
  <c r="D154" i="11"/>
  <c r="D153" i="11"/>
  <c r="D152" i="11"/>
  <c r="D151" i="11"/>
  <c r="D150" i="11"/>
  <c r="D149" i="11"/>
  <c r="D159" i="11"/>
  <c r="D27" i="10"/>
  <c r="D28" i="10"/>
  <c r="D26" i="10"/>
  <c r="D25" i="10"/>
  <c r="D24" i="10"/>
  <c r="D23" i="10"/>
  <c r="D22" i="10"/>
  <c r="D21" i="10"/>
  <c r="D20" i="10"/>
  <c r="D19" i="10"/>
  <c r="D18" i="10"/>
  <c r="D17" i="10"/>
  <c r="D160" i="10"/>
  <c r="D158" i="10"/>
  <c r="D157" i="10"/>
  <c r="D156" i="10"/>
  <c r="D155" i="10"/>
  <c r="D154" i="10"/>
  <c r="D153" i="10"/>
  <c r="D152" i="10"/>
  <c r="D151" i="10"/>
  <c r="D150" i="10"/>
  <c r="D149" i="10"/>
  <c r="D159" i="10"/>
  <c r="D27" i="9"/>
  <c r="D26" i="9"/>
  <c r="D25" i="9"/>
  <c r="D24" i="9"/>
  <c r="D23" i="9"/>
  <c r="D22" i="9"/>
  <c r="D21" i="9"/>
  <c r="D20" i="9"/>
  <c r="D19" i="9"/>
  <c r="D18" i="9"/>
  <c r="D17" i="9"/>
  <c r="D28" i="9"/>
  <c r="T59" i="23" l="1"/>
  <c r="T62" i="23"/>
  <c r="T58" i="23"/>
  <c r="T63" i="23"/>
  <c r="T55" i="23"/>
  <c r="T54" i="23"/>
  <c r="Y63" i="23" s="1"/>
  <c r="Y27" i="23"/>
  <c r="Y51" i="23"/>
  <c r="Y15" i="23"/>
  <c r="D63" i="23"/>
  <c r="D64" i="23"/>
  <c r="D62" i="23"/>
  <c r="D61" i="23"/>
  <c r="D60" i="23"/>
  <c r="D59" i="23"/>
  <c r="D58" i="23"/>
  <c r="D57" i="23"/>
  <c r="D56" i="23"/>
  <c r="D55" i="23"/>
  <c r="D54" i="23"/>
  <c r="D53" i="23"/>
  <c r="Y39" i="23"/>
  <c r="Y27" i="22"/>
  <c r="N28" i="7" s="1"/>
  <c r="N28" i="8" s="1"/>
  <c r="Y51" i="22"/>
  <c r="R28" i="7" s="1"/>
  <c r="R28" i="8" s="1"/>
  <c r="Y15" i="22"/>
  <c r="D63" i="22"/>
  <c r="D64" i="22"/>
  <c r="D62" i="22"/>
  <c r="D61" i="22"/>
  <c r="D60" i="22"/>
  <c r="D59" i="22"/>
  <c r="D58" i="22"/>
  <c r="D57" i="22"/>
  <c r="D56" i="22"/>
  <c r="D55" i="22"/>
  <c r="D54" i="22"/>
  <c r="D53" i="22"/>
  <c r="Y39" i="22"/>
  <c r="P28" i="7" s="1"/>
  <c r="P28" i="8" s="1"/>
  <c r="Y63" i="22"/>
  <c r="T28" i="7" s="1"/>
  <c r="T28" i="8" s="1"/>
  <c r="D63" i="21"/>
  <c r="D64" i="21"/>
  <c r="D62" i="21"/>
  <c r="D61" i="21"/>
  <c r="D60" i="21"/>
  <c r="D59" i="21"/>
  <c r="D58" i="21"/>
  <c r="D57" i="21"/>
  <c r="D56" i="21"/>
  <c r="D55" i="21"/>
  <c r="D54" i="21"/>
  <c r="D53" i="21"/>
  <c r="D170" i="13"/>
  <c r="D169" i="13"/>
  <c r="D168" i="13"/>
  <c r="D167" i="13"/>
  <c r="D166" i="13"/>
  <c r="D165" i="13"/>
  <c r="D164" i="13"/>
  <c r="D163" i="13"/>
  <c r="D162" i="13"/>
  <c r="D161" i="13"/>
  <c r="D171" i="13"/>
  <c r="D39" i="13"/>
  <c r="D40" i="13"/>
  <c r="D38" i="13"/>
  <c r="D37" i="13"/>
  <c r="D36" i="13"/>
  <c r="D35" i="13"/>
  <c r="D34" i="13"/>
  <c r="D33" i="13"/>
  <c r="D32" i="13"/>
  <c r="D31" i="13"/>
  <c r="D30" i="13"/>
  <c r="D29" i="13"/>
  <c r="D170" i="19"/>
  <c r="D169" i="19"/>
  <c r="D168" i="19"/>
  <c r="D167" i="19"/>
  <c r="D166" i="19"/>
  <c r="D165" i="19"/>
  <c r="D164" i="19"/>
  <c r="D163" i="19"/>
  <c r="D162" i="19"/>
  <c r="D161" i="19"/>
  <c r="D171" i="19"/>
  <c r="D39" i="19"/>
  <c r="D40" i="19"/>
  <c r="D38" i="19"/>
  <c r="D37" i="19"/>
  <c r="D36" i="19"/>
  <c r="D35" i="19"/>
  <c r="D34" i="19"/>
  <c r="D33" i="19"/>
  <c r="D32" i="19"/>
  <c r="D31" i="19"/>
  <c r="D30" i="19"/>
  <c r="D29" i="19"/>
  <c r="D170" i="18"/>
  <c r="D169" i="18"/>
  <c r="D168" i="18"/>
  <c r="D167" i="18"/>
  <c r="D166" i="18"/>
  <c r="D165" i="18"/>
  <c r="D164" i="18"/>
  <c r="D163" i="18"/>
  <c r="D162" i="18"/>
  <c r="D161" i="18"/>
  <c r="D171" i="18"/>
  <c r="D39" i="18"/>
  <c r="D40" i="18"/>
  <c r="D38" i="18"/>
  <c r="D37" i="18"/>
  <c r="D36" i="18"/>
  <c r="D35" i="18"/>
  <c r="D34" i="18"/>
  <c r="D33" i="18"/>
  <c r="D32" i="18"/>
  <c r="D31" i="18"/>
  <c r="D30" i="18"/>
  <c r="D29" i="18"/>
  <c r="D39" i="17"/>
  <c r="D40" i="17"/>
  <c r="D38" i="17"/>
  <c r="D37" i="17"/>
  <c r="D36" i="17"/>
  <c r="D35" i="17"/>
  <c r="D34" i="17"/>
  <c r="D33" i="17"/>
  <c r="D32" i="17"/>
  <c r="D31" i="17"/>
  <c r="D30" i="17"/>
  <c r="D29" i="17"/>
  <c r="D170" i="16"/>
  <c r="D169" i="16"/>
  <c r="D168" i="16"/>
  <c r="D167" i="16"/>
  <c r="D166" i="16"/>
  <c r="D165" i="16"/>
  <c r="D164" i="16"/>
  <c r="D163" i="16"/>
  <c r="D162" i="16"/>
  <c r="D161" i="16"/>
  <c r="D171" i="16"/>
  <c r="D39" i="16"/>
  <c r="D40" i="16"/>
  <c r="D38" i="16"/>
  <c r="D37" i="16"/>
  <c r="D36" i="16"/>
  <c r="D35" i="16"/>
  <c r="D34" i="16"/>
  <c r="D33" i="16"/>
  <c r="D32" i="16"/>
  <c r="D31" i="16"/>
  <c r="D30" i="16"/>
  <c r="D29" i="16"/>
  <c r="D39" i="15"/>
  <c r="D40" i="15"/>
  <c r="D38" i="15"/>
  <c r="D37" i="15"/>
  <c r="D36" i="15"/>
  <c r="D35" i="15"/>
  <c r="D34" i="15"/>
  <c r="D33" i="15"/>
  <c r="D32" i="15"/>
  <c r="D31" i="15"/>
  <c r="D30" i="15"/>
  <c r="D29" i="15"/>
  <c r="D170" i="15"/>
  <c r="D169" i="15"/>
  <c r="D168" i="15"/>
  <c r="D167" i="15"/>
  <c r="D166" i="15"/>
  <c r="D165" i="15"/>
  <c r="D164" i="15"/>
  <c r="D163" i="15"/>
  <c r="D162" i="15"/>
  <c r="D161" i="15"/>
  <c r="D171" i="15"/>
  <c r="D170" i="14"/>
  <c r="D169" i="14"/>
  <c r="D168" i="14"/>
  <c r="D167" i="14"/>
  <c r="D166" i="14"/>
  <c r="D165" i="14"/>
  <c r="D164" i="14"/>
  <c r="D163" i="14"/>
  <c r="D162" i="14"/>
  <c r="D161" i="14"/>
  <c r="D171" i="14"/>
  <c r="D39" i="14"/>
  <c r="D40" i="14"/>
  <c r="D38" i="14"/>
  <c r="D37" i="14"/>
  <c r="D36" i="14"/>
  <c r="D35" i="14"/>
  <c r="D34" i="14"/>
  <c r="D33" i="14"/>
  <c r="D32" i="14"/>
  <c r="D31" i="14"/>
  <c r="D30" i="14"/>
  <c r="D29" i="14"/>
  <c r="D170" i="12"/>
  <c r="D169" i="12"/>
  <c r="D168" i="12"/>
  <c r="D167" i="12"/>
  <c r="D166" i="12"/>
  <c r="D165" i="12"/>
  <c r="D164" i="12"/>
  <c r="D163" i="12"/>
  <c r="D162" i="12"/>
  <c r="D161" i="12"/>
  <c r="D171" i="12"/>
  <c r="D39" i="12"/>
  <c r="D40" i="12"/>
  <c r="D38" i="12"/>
  <c r="D37" i="12"/>
  <c r="D36" i="12"/>
  <c r="D35" i="12"/>
  <c r="D34" i="12"/>
  <c r="D33" i="12"/>
  <c r="D32" i="12"/>
  <c r="D31" i="12"/>
  <c r="D30" i="12"/>
  <c r="D29" i="12"/>
  <c r="D170" i="11"/>
  <c r="D169" i="11"/>
  <c r="D168" i="11"/>
  <c r="D167" i="11"/>
  <c r="D166" i="11"/>
  <c r="D165" i="11"/>
  <c r="D164" i="11"/>
  <c r="D163" i="11"/>
  <c r="D162" i="11"/>
  <c r="D161" i="11"/>
  <c r="D171" i="11"/>
  <c r="D39" i="11"/>
  <c r="D40" i="11"/>
  <c r="D38" i="11"/>
  <c r="D37" i="11"/>
  <c r="D36" i="11"/>
  <c r="D35" i="11"/>
  <c r="D34" i="11"/>
  <c r="D33" i="11"/>
  <c r="D32" i="11"/>
  <c r="D31" i="11"/>
  <c r="D30" i="11"/>
  <c r="D29" i="11"/>
  <c r="D170" i="10"/>
  <c r="D169" i="10"/>
  <c r="D168" i="10"/>
  <c r="D167" i="10"/>
  <c r="D166" i="10"/>
  <c r="D165" i="10"/>
  <c r="D164" i="10"/>
  <c r="D163" i="10"/>
  <c r="D162" i="10"/>
  <c r="D161" i="10"/>
  <c r="D171" i="10"/>
  <c r="D39" i="10"/>
  <c r="D40" i="10"/>
  <c r="D38" i="10"/>
  <c r="D37" i="10"/>
  <c r="D36" i="10"/>
  <c r="D35" i="10"/>
  <c r="D34" i="10"/>
  <c r="D33" i="10"/>
  <c r="D32" i="10"/>
  <c r="D31" i="10"/>
  <c r="D30" i="10"/>
  <c r="D29" i="10"/>
  <c r="D38" i="9"/>
  <c r="D36" i="9"/>
  <c r="D35" i="9"/>
  <c r="D33" i="9"/>
  <c r="D31" i="9"/>
  <c r="D30" i="9"/>
  <c r="D40" i="9"/>
  <c r="D39" i="9"/>
  <c r="D37" i="9"/>
  <c r="D34" i="9"/>
  <c r="D32" i="9"/>
  <c r="D29" i="9"/>
  <c r="T29" i="7" l="1"/>
  <c r="T29" i="8" s="1"/>
  <c r="P29" i="7"/>
  <c r="P29" i="8" s="1"/>
  <c r="R29" i="7"/>
  <c r="R29" i="8" s="1"/>
  <c r="D75" i="23"/>
  <c r="D76" i="23"/>
  <c r="D74" i="23"/>
  <c r="D73" i="23"/>
  <c r="D72" i="23"/>
  <c r="D71" i="23"/>
  <c r="D70" i="23"/>
  <c r="D69" i="23"/>
  <c r="D68" i="23"/>
  <c r="D67" i="23"/>
  <c r="D66" i="23"/>
  <c r="D65" i="23"/>
  <c r="T76" i="23"/>
  <c r="T70" i="23"/>
  <c r="T66" i="23"/>
  <c r="T71" i="23"/>
  <c r="T67" i="23"/>
  <c r="T75" i="23"/>
  <c r="T72" i="23"/>
  <c r="T68" i="23"/>
  <c r="T74" i="23"/>
  <c r="T73" i="23"/>
  <c r="T69" i="23"/>
  <c r="T65" i="23"/>
  <c r="D75" i="22"/>
  <c r="D76" i="22"/>
  <c r="D74" i="22"/>
  <c r="D73" i="22"/>
  <c r="D72" i="22"/>
  <c r="D71" i="22"/>
  <c r="D70" i="22"/>
  <c r="D69" i="22"/>
  <c r="D68" i="22"/>
  <c r="D67" i="22"/>
  <c r="D66" i="22"/>
  <c r="D65" i="22"/>
  <c r="T76" i="22"/>
  <c r="T70" i="22"/>
  <c r="T66" i="22"/>
  <c r="T71" i="22"/>
  <c r="T67" i="22"/>
  <c r="T75" i="22"/>
  <c r="T72" i="22"/>
  <c r="T68" i="22"/>
  <c r="T74" i="22"/>
  <c r="T73" i="22"/>
  <c r="T69" i="22"/>
  <c r="T65" i="22"/>
  <c r="D75" i="21"/>
  <c r="D76" i="21"/>
  <c r="D74" i="21"/>
  <c r="D73" i="21"/>
  <c r="D72" i="21"/>
  <c r="D71" i="21"/>
  <c r="D70" i="21"/>
  <c r="D69" i="21"/>
  <c r="D68" i="21"/>
  <c r="D67" i="21"/>
  <c r="D66" i="21"/>
  <c r="D65" i="21"/>
  <c r="D51" i="13"/>
  <c r="D52" i="13"/>
  <c r="D50" i="13"/>
  <c r="D49" i="13"/>
  <c r="D48" i="13"/>
  <c r="D47" i="13"/>
  <c r="D46" i="13"/>
  <c r="D45" i="13"/>
  <c r="D44" i="13"/>
  <c r="D43" i="13"/>
  <c r="D42" i="13"/>
  <c r="D41" i="13"/>
  <c r="T25" i="13"/>
  <c r="T24" i="13"/>
  <c r="T23" i="13"/>
  <c r="T22" i="13"/>
  <c r="T21" i="13"/>
  <c r="T20" i="13"/>
  <c r="T19" i="13"/>
  <c r="T18" i="13"/>
  <c r="T17" i="13"/>
  <c r="T16" i="13"/>
  <c r="T13" i="13"/>
  <c r="T12" i="13"/>
  <c r="T11" i="13"/>
  <c r="T10" i="13"/>
  <c r="T9" i="13"/>
  <c r="T8" i="13"/>
  <c r="T7" i="13"/>
  <c r="T6" i="13"/>
  <c r="T5" i="13"/>
  <c r="T4" i="13"/>
  <c r="T14" i="13"/>
  <c r="T26" i="13"/>
  <c r="T38" i="13"/>
  <c r="T50" i="13"/>
  <c r="T62" i="13"/>
  <c r="T110" i="13"/>
  <c r="T122" i="13"/>
  <c r="T134" i="13"/>
  <c r="T138" i="13"/>
  <c r="T140" i="13"/>
  <c r="T142" i="13"/>
  <c r="T144" i="13"/>
  <c r="T150" i="13"/>
  <c r="T152" i="13"/>
  <c r="T154" i="13"/>
  <c r="T156" i="13"/>
  <c r="T162" i="13"/>
  <c r="T164" i="13"/>
  <c r="T166" i="13"/>
  <c r="T168" i="13"/>
  <c r="T28" i="13"/>
  <c r="T30" i="13"/>
  <c r="T32" i="13"/>
  <c r="T34" i="13"/>
  <c r="T36" i="13"/>
  <c r="T40" i="13"/>
  <c r="T42" i="13"/>
  <c r="T44" i="13"/>
  <c r="T46" i="13"/>
  <c r="T48" i="13"/>
  <c r="T52" i="13"/>
  <c r="T54" i="13"/>
  <c r="T56" i="13"/>
  <c r="T58" i="13"/>
  <c r="T60" i="13"/>
  <c r="T64" i="13"/>
  <c r="T102" i="13"/>
  <c r="T104" i="13"/>
  <c r="T106" i="13"/>
  <c r="T108" i="13"/>
  <c r="T114" i="13"/>
  <c r="T116" i="13"/>
  <c r="T118" i="13"/>
  <c r="T120" i="13"/>
  <c r="T126" i="13"/>
  <c r="T128" i="13"/>
  <c r="T130" i="13"/>
  <c r="T132" i="13"/>
  <c r="T146" i="13"/>
  <c r="T158" i="13"/>
  <c r="T170" i="13"/>
  <c r="T171" i="13"/>
  <c r="T15" i="13"/>
  <c r="T27" i="13"/>
  <c r="T39" i="13"/>
  <c r="T51" i="13"/>
  <c r="T63" i="13"/>
  <c r="T111" i="13"/>
  <c r="T123" i="13"/>
  <c r="T135" i="13"/>
  <c r="T137" i="13"/>
  <c r="T139" i="13"/>
  <c r="T141" i="13"/>
  <c r="T143" i="13"/>
  <c r="T145" i="13"/>
  <c r="T149" i="13"/>
  <c r="T151" i="13"/>
  <c r="T153" i="13"/>
  <c r="T155" i="13"/>
  <c r="T157" i="13"/>
  <c r="T161" i="13"/>
  <c r="T163" i="13"/>
  <c r="T165" i="13"/>
  <c r="T167" i="13"/>
  <c r="T169" i="13"/>
  <c r="T29" i="13"/>
  <c r="T31" i="13"/>
  <c r="T33" i="13"/>
  <c r="T35" i="13"/>
  <c r="T37" i="13"/>
  <c r="T41" i="13"/>
  <c r="T43" i="13"/>
  <c r="T45" i="13"/>
  <c r="T47" i="13"/>
  <c r="T49" i="13"/>
  <c r="T53" i="13"/>
  <c r="T55" i="13"/>
  <c r="T57" i="13"/>
  <c r="T59" i="13"/>
  <c r="T61" i="13"/>
  <c r="T101" i="13"/>
  <c r="T103" i="13"/>
  <c r="T105" i="13"/>
  <c r="T107" i="13"/>
  <c r="T109" i="13"/>
  <c r="T113" i="13"/>
  <c r="T115" i="13"/>
  <c r="T117" i="13"/>
  <c r="T119" i="13"/>
  <c r="T121" i="13"/>
  <c r="T125" i="13"/>
  <c r="T127" i="13"/>
  <c r="T129" i="13"/>
  <c r="T131" i="13"/>
  <c r="T133" i="13"/>
  <c r="T147" i="13"/>
  <c r="T159" i="13"/>
  <c r="D51" i="19"/>
  <c r="D52" i="19"/>
  <c r="D50" i="19"/>
  <c r="D49" i="19"/>
  <c r="D48" i="19"/>
  <c r="D47" i="19"/>
  <c r="D46" i="19"/>
  <c r="D45" i="19"/>
  <c r="D44" i="19"/>
  <c r="D43" i="19"/>
  <c r="D42" i="19"/>
  <c r="D41" i="19"/>
  <c r="D51" i="18"/>
  <c r="D52" i="18"/>
  <c r="D50" i="18"/>
  <c r="D49" i="18"/>
  <c r="D48" i="18"/>
  <c r="D47" i="18"/>
  <c r="D46" i="18"/>
  <c r="D45" i="18"/>
  <c r="D44" i="18"/>
  <c r="D43" i="18"/>
  <c r="D42" i="18"/>
  <c r="D41" i="18"/>
  <c r="D51" i="17"/>
  <c r="D52" i="17"/>
  <c r="D50" i="17"/>
  <c r="D49" i="17"/>
  <c r="D48" i="17"/>
  <c r="D47" i="17"/>
  <c r="D46" i="17"/>
  <c r="D45" i="17"/>
  <c r="D44" i="17"/>
  <c r="D43" i="17"/>
  <c r="D42" i="17"/>
  <c r="D41" i="17"/>
  <c r="D51" i="16"/>
  <c r="D52" i="16"/>
  <c r="D50" i="16"/>
  <c r="D49" i="16"/>
  <c r="D48" i="16"/>
  <c r="D47" i="16"/>
  <c r="D46" i="16"/>
  <c r="D45" i="16"/>
  <c r="D44" i="16"/>
  <c r="D43" i="16"/>
  <c r="D42" i="16"/>
  <c r="D41" i="16"/>
  <c r="D51" i="15"/>
  <c r="D52" i="15"/>
  <c r="D50" i="15"/>
  <c r="D49" i="15"/>
  <c r="D48" i="15"/>
  <c r="D47" i="15"/>
  <c r="D46" i="15"/>
  <c r="D45" i="15"/>
  <c r="D44" i="15"/>
  <c r="D43" i="15"/>
  <c r="D42" i="15"/>
  <c r="D41" i="15"/>
  <c r="D51" i="14"/>
  <c r="D52" i="14"/>
  <c r="D50" i="14"/>
  <c r="D49" i="14"/>
  <c r="D48" i="14"/>
  <c r="D47" i="14"/>
  <c r="D46" i="14"/>
  <c r="D45" i="14"/>
  <c r="D44" i="14"/>
  <c r="D43" i="14"/>
  <c r="D42" i="14"/>
  <c r="D41" i="14"/>
  <c r="D51" i="12"/>
  <c r="D52" i="12"/>
  <c r="D50" i="12"/>
  <c r="D49" i="12"/>
  <c r="D48" i="12"/>
  <c r="D47" i="12"/>
  <c r="D46" i="12"/>
  <c r="D45" i="12"/>
  <c r="D44" i="12"/>
  <c r="D43" i="12"/>
  <c r="D42" i="12"/>
  <c r="D41" i="12"/>
  <c r="D51" i="11"/>
  <c r="D52" i="11"/>
  <c r="D50" i="11"/>
  <c r="D49" i="11"/>
  <c r="D48" i="11"/>
  <c r="D47" i="11"/>
  <c r="D46" i="11"/>
  <c r="D45" i="11"/>
  <c r="D44" i="11"/>
  <c r="D43" i="11"/>
  <c r="D42" i="11"/>
  <c r="D41" i="11"/>
  <c r="D51" i="10"/>
  <c r="D52" i="10"/>
  <c r="D50" i="10"/>
  <c r="D49" i="10"/>
  <c r="D48" i="10"/>
  <c r="D47" i="10"/>
  <c r="D46" i="10"/>
  <c r="D45" i="10"/>
  <c r="D44" i="10"/>
  <c r="D43" i="10"/>
  <c r="D42" i="10"/>
  <c r="D41" i="10"/>
  <c r="D52" i="9"/>
  <c r="D51" i="9"/>
  <c r="D50" i="9"/>
  <c r="D49" i="9"/>
  <c r="D48" i="9"/>
  <c r="D47" i="9"/>
  <c r="D46" i="9"/>
  <c r="D45" i="9"/>
  <c r="D44" i="9"/>
  <c r="D43" i="9"/>
  <c r="D42" i="9"/>
  <c r="D41" i="9"/>
  <c r="Y75" i="23" l="1"/>
  <c r="D87" i="23"/>
  <c r="D88" i="23"/>
  <c r="D86" i="23"/>
  <c r="D85" i="23"/>
  <c r="D84" i="23"/>
  <c r="D83" i="23"/>
  <c r="D82" i="23"/>
  <c r="D81" i="23"/>
  <c r="D80" i="23"/>
  <c r="D79" i="23"/>
  <c r="D78" i="23"/>
  <c r="D77" i="23"/>
  <c r="T84" i="23"/>
  <c r="T80" i="23"/>
  <c r="T86" i="23"/>
  <c r="T85" i="23"/>
  <c r="T81" i="23"/>
  <c r="T77" i="23"/>
  <c r="T87" i="23"/>
  <c r="T88" i="23"/>
  <c r="T82" i="23"/>
  <c r="T78" i="23"/>
  <c r="T83" i="23"/>
  <c r="T79" i="23"/>
  <c r="Y75" i="22"/>
  <c r="V28" i="7" s="1"/>
  <c r="V28" i="8" s="1"/>
  <c r="D87" i="22"/>
  <c r="D88" i="22"/>
  <c r="D86" i="22"/>
  <c r="D85" i="22"/>
  <c r="D84" i="22"/>
  <c r="D83" i="22"/>
  <c r="D82" i="22"/>
  <c r="D81" i="22"/>
  <c r="D80" i="22"/>
  <c r="D79" i="22"/>
  <c r="D78" i="22"/>
  <c r="D77" i="22"/>
  <c r="T84" i="22"/>
  <c r="T80" i="22"/>
  <c r="T86" i="22"/>
  <c r="T85" i="22"/>
  <c r="T81" i="22"/>
  <c r="T77" i="22"/>
  <c r="T87" i="22"/>
  <c r="T88" i="22"/>
  <c r="T82" i="22"/>
  <c r="T78" i="22"/>
  <c r="T83" i="22"/>
  <c r="T79" i="22"/>
  <c r="D87" i="21"/>
  <c r="D88" i="21"/>
  <c r="D86" i="21"/>
  <c r="D85" i="21"/>
  <c r="D84" i="21"/>
  <c r="D83" i="21"/>
  <c r="D82" i="21"/>
  <c r="D81" i="21"/>
  <c r="D80" i="21"/>
  <c r="D79" i="21"/>
  <c r="D78" i="21"/>
  <c r="D77" i="21"/>
  <c r="Y63" i="13"/>
  <c r="T50" i="7" s="1"/>
  <c r="Y39" i="13"/>
  <c r="Y15" i="13"/>
  <c r="D63" i="13"/>
  <c r="D64" i="13"/>
  <c r="D62" i="13"/>
  <c r="D61" i="13"/>
  <c r="D60" i="13"/>
  <c r="D59" i="13"/>
  <c r="D58" i="13"/>
  <c r="D57" i="13"/>
  <c r="D56" i="13"/>
  <c r="D55" i="13"/>
  <c r="D54" i="13"/>
  <c r="D53" i="13"/>
  <c r="Y51" i="13"/>
  <c r="Y27" i="13"/>
  <c r="D63" i="19"/>
  <c r="D64" i="19"/>
  <c r="D62" i="19"/>
  <c r="D61" i="19"/>
  <c r="D60" i="19"/>
  <c r="D59" i="19"/>
  <c r="D58" i="19"/>
  <c r="D57" i="19"/>
  <c r="D56" i="19"/>
  <c r="D55" i="19"/>
  <c r="D54" i="19"/>
  <c r="D53" i="19"/>
  <c r="D63" i="18"/>
  <c r="D64" i="18"/>
  <c r="D62" i="18"/>
  <c r="D61" i="18"/>
  <c r="D60" i="18"/>
  <c r="D59" i="18"/>
  <c r="D58" i="18"/>
  <c r="D57" i="18"/>
  <c r="D56" i="18"/>
  <c r="D55" i="18"/>
  <c r="D54" i="18"/>
  <c r="D53" i="18"/>
  <c r="D63" i="17"/>
  <c r="D64" i="17"/>
  <c r="D62" i="17"/>
  <c r="D61" i="17"/>
  <c r="D60" i="17"/>
  <c r="D59" i="17"/>
  <c r="D58" i="17"/>
  <c r="D57" i="17"/>
  <c r="D56" i="17"/>
  <c r="D55" i="17"/>
  <c r="D54" i="17"/>
  <c r="D53" i="17"/>
  <c r="D63" i="16"/>
  <c r="D64" i="16"/>
  <c r="D62" i="16"/>
  <c r="D61" i="16"/>
  <c r="D60" i="16"/>
  <c r="D59" i="16"/>
  <c r="D58" i="16"/>
  <c r="D57" i="16"/>
  <c r="D56" i="16"/>
  <c r="D55" i="16"/>
  <c r="D54" i="16"/>
  <c r="D53" i="16"/>
  <c r="D63" i="15"/>
  <c r="D64" i="15"/>
  <c r="D62" i="15"/>
  <c r="D61" i="15"/>
  <c r="D60" i="15"/>
  <c r="D59" i="15"/>
  <c r="D58" i="15"/>
  <c r="D57" i="15"/>
  <c r="D56" i="15"/>
  <c r="D55" i="15"/>
  <c r="D54" i="15"/>
  <c r="D53" i="15"/>
  <c r="D63" i="14"/>
  <c r="D64" i="14"/>
  <c r="D62" i="14"/>
  <c r="D61" i="14"/>
  <c r="D60" i="14"/>
  <c r="D59" i="14"/>
  <c r="D58" i="14"/>
  <c r="D57" i="14"/>
  <c r="D56" i="14"/>
  <c r="D55" i="14"/>
  <c r="D54" i="14"/>
  <c r="D53" i="14"/>
  <c r="D63" i="12"/>
  <c r="D64" i="12"/>
  <c r="D62" i="12"/>
  <c r="D61" i="12"/>
  <c r="D60" i="12"/>
  <c r="D59" i="12"/>
  <c r="D58" i="12"/>
  <c r="D57" i="12"/>
  <c r="D56" i="12"/>
  <c r="D55" i="12"/>
  <c r="D54" i="12"/>
  <c r="D53" i="12"/>
  <c r="D63" i="11"/>
  <c r="D64" i="11"/>
  <c r="D62" i="11"/>
  <c r="D61" i="11"/>
  <c r="D60" i="11"/>
  <c r="D59" i="11"/>
  <c r="D58" i="11"/>
  <c r="D57" i="11"/>
  <c r="D56" i="11"/>
  <c r="D55" i="11"/>
  <c r="D54" i="11"/>
  <c r="D53" i="11"/>
  <c r="D63" i="10"/>
  <c r="D64" i="10"/>
  <c r="D62" i="10"/>
  <c r="D61" i="10"/>
  <c r="D60" i="10"/>
  <c r="D59" i="10"/>
  <c r="D58" i="10"/>
  <c r="D57" i="10"/>
  <c r="D56" i="10"/>
  <c r="D55" i="10"/>
  <c r="D54" i="10"/>
  <c r="D53" i="10"/>
  <c r="D63" i="9"/>
  <c r="D62" i="9"/>
  <c r="D61" i="9"/>
  <c r="D60" i="9"/>
  <c r="D59" i="9"/>
  <c r="D58" i="9"/>
  <c r="D57" i="9"/>
  <c r="D56" i="9"/>
  <c r="D55" i="9"/>
  <c r="D54" i="9"/>
  <c r="D53" i="9"/>
  <c r="D64" i="9"/>
  <c r="V29" i="7" l="1"/>
  <c r="V29" i="8" s="1"/>
  <c r="Y87" i="23"/>
  <c r="Y87" i="22"/>
  <c r="X28" i="7" s="1"/>
  <c r="X28" i="8" s="1"/>
  <c r="D99" i="23"/>
  <c r="D100" i="23" s="1"/>
  <c r="D98" i="23"/>
  <c r="D97" i="23"/>
  <c r="D96" i="23"/>
  <c r="D95" i="23"/>
  <c r="D94" i="23"/>
  <c r="D93" i="23"/>
  <c r="D92" i="23"/>
  <c r="D91" i="23"/>
  <c r="D90" i="23"/>
  <c r="D89" i="23"/>
  <c r="T100" i="23"/>
  <c r="Y111" i="23" s="1"/>
  <c r="T94" i="23"/>
  <c r="T90" i="23"/>
  <c r="T95" i="23"/>
  <c r="T91" i="23"/>
  <c r="T99" i="23"/>
  <c r="T96" i="23"/>
  <c r="T92" i="23"/>
  <c r="T98" i="23"/>
  <c r="T97" i="23"/>
  <c r="T93" i="23"/>
  <c r="T89" i="23"/>
  <c r="D99" i="22"/>
  <c r="D100" i="22" s="1"/>
  <c r="D98" i="22"/>
  <c r="D97" i="22"/>
  <c r="D96" i="22"/>
  <c r="D95" i="22"/>
  <c r="D94" i="22"/>
  <c r="D93" i="22"/>
  <c r="D92" i="22"/>
  <c r="D91" i="22"/>
  <c r="D90" i="22"/>
  <c r="D89" i="22"/>
  <c r="T100" i="22"/>
  <c r="Y111" i="22" s="1"/>
  <c r="AB28" i="7" s="1"/>
  <c r="AB28" i="8" s="1"/>
  <c r="T94" i="22"/>
  <c r="T90" i="22"/>
  <c r="T95" i="22"/>
  <c r="T91" i="22"/>
  <c r="T99" i="22"/>
  <c r="T96" i="22"/>
  <c r="T92" i="22"/>
  <c r="T98" i="22"/>
  <c r="T97" i="22"/>
  <c r="T93" i="22"/>
  <c r="T89" i="22"/>
  <c r="D99" i="21"/>
  <c r="D100" i="21" s="1"/>
  <c r="D98" i="21"/>
  <c r="D97" i="21"/>
  <c r="D96" i="21"/>
  <c r="D95" i="21"/>
  <c r="D94" i="21"/>
  <c r="D93" i="21"/>
  <c r="D92" i="21"/>
  <c r="D91" i="21"/>
  <c r="D90" i="21"/>
  <c r="D89" i="21"/>
  <c r="D75" i="13"/>
  <c r="D76" i="13"/>
  <c r="D74" i="13"/>
  <c r="D73" i="13"/>
  <c r="D72" i="13"/>
  <c r="D71" i="13"/>
  <c r="D70" i="13"/>
  <c r="D69" i="13"/>
  <c r="D68" i="13"/>
  <c r="D67" i="13"/>
  <c r="D66" i="13"/>
  <c r="D65" i="13"/>
  <c r="T74" i="13"/>
  <c r="T68" i="13"/>
  <c r="T72" i="13"/>
  <c r="T67" i="13"/>
  <c r="T71" i="13"/>
  <c r="T66" i="13"/>
  <c r="T70" i="13"/>
  <c r="T76" i="13"/>
  <c r="T75" i="13"/>
  <c r="T65" i="13"/>
  <c r="T69" i="13"/>
  <c r="T73" i="13"/>
  <c r="D75" i="19"/>
  <c r="D76" i="19"/>
  <c r="D74" i="19"/>
  <c r="D73" i="19"/>
  <c r="D72" i="19"/>
  <c r="D71" i="19"/>
  <c r="D70" i="19"/>
  <c r="D69" i="19"/>
  <c r="D68" i="19"/>
  <c r="D67" i="19"/>
  <c r="D66" i="19"/>
  <c r="D65" i="19"/>
  <c r="D75" i="18"/>
  <c r="D76" i="18"/>
  <c r="D74" i="18"/>
  <c r="D73" i="18"/>
  <c r="D72" i="18"/>
  <c r="D71" i="18"/>
  <c r="D70" i="18"/>
  <c r="D69" i="18"/>
  <c r="D68" i="18"/>
  <c r="D67" i="18"/>
  <c r="D66" i="18"/>
  <c r="D65" i="18"/>
  <c r="D75" i="17"/>
  <c r="D76" i="17"/>
  <c r="D74" i="17"/>
  <c r="D73" i="17"/>
  <c r="D72" i="17"/>
  <c r="D71" i="17"/>
  <c r="D70" i="17"/>
  <c r="D69" i="17"/>
  <c r="D68" i="17"/>
  <c r="D67" i="17"/>
  <c r="D66" i="17"/>
  <c r="D65" i="17"/>
  <c r="D75" i="16"/>
  <c r="D76" i="16"/>
  <c r="D74" i="16"/>
  <c r="D73" i="16"/>
  <c r="D72" i="16"/>
  <c r="D71" i="16"/>
  <c r="D70" i="16"/>
  <c r="D69" i="16"/>
  <c r="D68" i="16"/>
  <c r="D67" i="16"/>
  <c r="D66" i="16"/>
  <c r="D65" i="16"/>
  <c r="D75" i="15"/>
  <c r="D76" i="15"/>
  <c r="D74" i="15"/>
  <c r="D73" i="15"/>
  <c r="D72" i="15"/>
  <c r="D71" i="15"/>
  <c r="D70" i="15"/>
  <c r="D69" i="15"/>
  <c r="D68" i="15"/>
  <c r="D67" i="15"/>
  <c r="D66" i="15"/>
  <c r="D65" i="15"/>
  <c r="D75" i="14"/>
  <c r="D76" i="14"/>
  <c r="D74" i="14"/>
  <c r="D73" i="14"/>
  <c r="D72" i="14"/>
  <c r="D71" i="14"/>
  <c r="D70" i="14"/>
  <c r="D69" i="14"/>
  <c r="D68" i="14"/>
  <c r="D67" i="14"/>
  <c r="D66" i="14"/>
  <c r="D65" i="14"/>
  <c r="D75" i="12"/>
  <c r="D76" i="12"/>
  <c r="D74" i="12"/>
  <c r="D73" i="12"/>
  <c r="D72" i="12"/>
  <c r="D71" i="12"/>
  <c r="D70" i="12"/>
  <c r="D69" i="12"/>
  <c r="D68" i="12"/>
  <c r="D67" i="12"/>
  <c r="D66" i="12"/>
  <c r="D65" i="12"/>
  <c r="D75" i="11"/>
  <c r="D76" i="11"/>
  <c r="D74" i="11"/>
  <c r="D73" i="11"/>
  <c r="D72" i="11"/>
  <c r="D71" i="11"/>
  <c r="D70" i="11"/>
  <c r="D69" i="11"/>
  <c r="D68" i="11"/>
  <c r="D67" i="11"/>
  <c r="D66" i="11"/>
  <c r="D65" i="11"/>
  <c r="D75" i="10"/>
  <c r="D76" i="10"/>
  <c r="D74" i="10"/>
  <c r="D73" i="10"/>
  <c r="D72" i="10"/>
  <c r="D71" i="10"/>
  <c r="D70" i="10"/>
  <c r="D69" i="10"/>
  <c r="D68" i="10"/>
  <c r="D67" i="10"/>
  <c r="D66" i="10"/>
  <c r="D65" i="10"/>
  <c r="D76" i="9"/>
  <c r="D75" i="9"/>
  <c r="D74" i="9"/>
  <c r="D73" i="9"/>
  <c r="D72" i="9"/>
  <c r="D71" i="9"/>
  <c r="D70" i="9"/>
  <c r="D69" i="9"/>
  <c r="D68" i="9"/>
  <c r="D67" i="9"/>
  <c r="D66" i="9"/>
  <c r="D65" i="9"/>
  <c r="AB29" i="7" l="1"/>
  <c r="AB29" i="8" s="1"/>
  <c r="X29" i="7"/>
  <c r="X29" i="8" s="1"/>
  <c r="Y99" i="23"/>
  <c r="Y99" i="22"/>
  <c r="Z28" i="7" s="1"/>
  <c r="Z28" i="8" s="1"/>
  <c r="D111" i="23"/>
  <c r="D112" i="23" s="1"/>
  <c r="D110" i="23"/>
  <c r="D109" i="23"/>
  <c r="D108" i="23"/>
  <c r="D107" i="23"/>
  <c r="D106" i="23"/>
  <c r="D105" i="23"/>
  <c r="D104" i="23"/>
  <c r="D103" i="23"/>
  <c r="D102" i="23"/>
  <c r="D101" i="23"/>
  <c r="T112" i="23"/>
  <c r="Y123" i="23" s="1"/>
  <c r="D111" i="22"/>
  <c r="D112" i="22" s="1"/>
  <c r="D110" i="22"/>
  <c r="D109" i="22"/>
  <c r="D108" i="22"/>
  <c r="D107" i="22"/>
  <c r="D106" i="22"/>
  <c r="D105" i="22"/>
  <c r="D104" i="22"/>
  <c r="D103" i="22"/>
  <c r="D102" i="22"/>
  <c r="D101" i="22"/>
  <c r="T112" i="22"/>
  <c r="Y123" i="22" s="1"/>
  <c r="AD28" i="7" s="1"/>
  <c r="AD28" i="8" s="1"/>
  <c r="D111" i="21"/>
  <c r="D112" i="21" s="1"/>
  <c r="D110" i="21"/>
  <c r="D109" i="21"/>
  <c r="D108" i="21"/>
  <c r="D107" i="21"/>
  <c r="D106" i="21"/>
  <c r="D105" i="21"/>
  <c r="D104" i="21"/>
  <c r="D103" i="21"/>
  <c r="D102" i="21"/>
  <c r="D101" i="21"/>
  <c r="Y75" i="13"/>
  <c r="V50" i="7" s="1"/>
  <c r="D87" i="13"/>
  <c r="D88" i="13"/>
  <c r="D86" i="13"/>
  <c r="D85" i="13"/>
  <c r="D84" i="13"/>
  <c r="D83" i="13"/>
  <c r="D82" i="13"/>
  <c r="D81" i="13"/>
  <c r="D80" i="13"/>
  <c r="D79" i="13"/>
  <c r="D78" i="13"/>
  <c r="D77" i="13"/>
  <c r="T78" i="13"/>
  <c r="T82" i="13"/>
  <c r="T88" i="13"/>
  <c r="T87" i="13"/>
  <c r="T77" i="13"/>
  <c r="T81" i="13"/>
  <c r="T85" i="13"/>
  <c r="T86" i="13"/>
  <c r="T80" i="13"/>
  <c r="T84" i="13"/>
  <c r="T79" i="13"/>
  <c r="T83" i="13"/>
  <c r="D87" i="19"/>
  <c r="D88" i="19"/>
  <c r="D86" i="19"/>
  <c r="D85" i="19"/>
  <c r="D84" i="19"/>
  <c r="D83" i="19"/>
  <c r="D82" i="19"/>
  <c r="D81" i="19"/>
  <c r="D80" i="19"/>
  <c r="D79" i="19"/>
  <c r="D78" i="19"/>
  <c r="D77" i="19"/>
  <c r="D87" i="18"/>
  <c r="D88" i="18"/>
  <c r="D86" i="18"/>
  <c r="D85" i="18"/>
  <c r="D84" i="18"/>
  <c r="D83" i="18"/>
  <c r="D82" i="18"/>
  <c r="D81" i="18"/>
  <c r="D80" i="18"/>
  <c r="D79" i="18"/>
  <c r="D78" i="18"/>
  <c r="D77" i="18"/>
  <c r="D87" i="17"/>
  <c r="D88" i="17"/>
  <c r="D86" i="17"/>
  <c r="D85" i="17"/>
  <c r="D84" i="17"/>
  <c r="D83" i="17"/>
  <c r="D82" i="17"/>
  <c r="D81" i="17"/>
  <c r="D80" i="17"/>
  <c r="D79" i="17"/>
  <c r="D78" i="17"/>
  <c r="D77" i="17"/>
  <c r="D87" i="16"/>
  <c r="D88" i="16"/>
  <c r="D86" i="16"/>
  <c r="D85" i="16"/>
  <c r="D84" i="16"/>
  <c r="D83" i="16"/>
  <c r="D82" i="16"/>
  <c r="D81" i="16"/>
  <c r="D80" i="16"/>
  <c r="D79" i="16"/>
  <c r="D78" i="16"/>
  <c r="D77" i="16"/>
  <c r="D87" i="15"/>
  <c r="D88" i="15"/>
  <c r="D86" i="15"/>
  <c r="D85" i="15"/>
  <c r="D84" i="15"/>
  <c r="D83" i="15"/>
  <c r="D82" i="15"/>
  <c r="D81" i="15"/>
  <c r="D80" i="15"/>
  <c r="D79" i="15"/>
  <c r="D78" i="15"/>
  <c r="D77" i="15"/>
  <c r="D87" i="14"/>
  <c r="D88" i="14"/>
  <c r="D86" i="14"/>
  <c r="D85" i="14"/>
  <c r="D84" i="14"/>
  <c r="D83" i="14"/>
  <c r="D82" i="14"/>
  <c r="D81" i="14"/>
  <c r="D80" i="14"/>
  <c r="D79" i="14"/>
  <c r="D78" i="14"/>
  <c r="D77" i="14"/>
  <c r="D87" i="12"/>
  <c r="D88" i="12"/>
  <c r="D86" i="12"/>
  <c r="D85" i="12"/>
  <c r="D84" i="12"/>
  <c r="D83" i="12"/>
  <c r="D82" i="12"/>
  <c r="D81" i="12"/>
  <c r="D80" i="12"/>
  <c r="D79" i="12"/>
  <c r="D78" i="12"/>
  <c r="D77" i="12"/>
  <c r="D87" i="11"/>
  <c r="D88" i="11"/>
  <c r="D86" i="11"/>
  <c r="D85" i="11"/>
  <c r="D84" i="11"/>
  <c r="D83" i="11"/>
  <c r="D82" i="11"/>
  <c r="D81" i="11"/>
  <c r="D80" i="11"/>
  <c r="D79" i="11"/>
  <c r="D78" i="11"/>
  <c r="D77" i="11"/>
  <c r="D87" i="10"/>
  <c r="D88" i="10"/>
  <c r="D86" i="10"/>
  <c r="D85" i="10"/>
  <c r="D84" i="10"/>
  <c r="D83" i="10"/>
  <c r="D82" i="10"/>
  <c r="D81" i="10"/>
  <c r="D80" i="10"/>
  <c r="D79" i="10"/>
  <c r="D78" i="10"/>
  <c r="D77" i="10"/>
  <c r="D87" i="9"/>
  <c r="D86" i="9"/>
  <c r="D85" i="9"/>
  <c r="D84" i="9"/>
  <c r="D83" i="9"/>
  <c r="D82" i="9"/>
  <c r="D81" i="9"/>
  <c r="D80" i="9"/>
  <c r="D79" i="9"/>
  <c r="D78" i="9"/>
  <c r="D77" i="9"/>
  <c r="D88" i="9"/>
  <c r="Z29" i="7" l="1"/>
  <c r="Z29" i="8" s="1"/>
  <c r="AD29" i="7"/>
  <c r="AD29" i="8" s="1"/>
  <c r="D123" i="23"/>
  <c r="D124" i="23" s="1"/>
  <c r="D122" i="23"/>
  <c r="D121" i="23"/>
  <c r="D120" i="23"/>
  <c r="D119" i="23"/>
  <c r="D118" i="23"/>
  <c r="D117" i="23"/>
  <c r="D116" i="23"/>
  <c r="D115" i="23"/>
  <c r="D114" i="23"/>
  <c r="D113" i="23"/>
  <c r="T124" i="23"/>
  <c r="Y135" i="23" s="1"/>
  <c r="D123" i="22"/>
  <c r="D124" i="22" s="1"/>
  <c r="D122" i="22"/>
  <c r="D121" i="22"/>
  <c r="D120" i="22"/>
  <c r="D119" i="22"/>
  <c r="D118" i="22"/>
  <c r="D117" i="22"/>
  <c r="D116" i="22"/>
  <c r="D115" i="22"/>
  <c r="D114" i="22"/>
  <c r="D113" i="22"/>
  <c r="T124" i="22"/>
  <c r="Y135" i="22" s="1"/>
  <c r="AF28" i="7" s="1"/>
  <c r="D123" i="21"/>
  <c r="D124" i="21" s="1"/>
  <c r="D122" i="21"/>
  <c r="D121" i="21"/>
  <c r="D120" i="21"/>
  <c r="D119" i="21"/>
  <c r="D118" i="21"/>
  <c r="D117" i="21"/>
  <c r="D116" i="21"/>
  <c r="D115" i="21"/>
  <c r="D114" i="21"/>
  <c r="D113" i="21"/>
  <c r="Y87" i="13"/>
  <c r="X50" i="7" s="1"/>
  <c r="D99" i="13"/>
  <c r="D100" i="13" s="1"/>
  <c r="D98" i="13"/>
  <c r="D97" i="13"/>
  <c r="D96" i="13"/>
  <c r="D95" i="13"/>
  <c r="D94" i="13"/>
  <c r="D93" i="13"/>
  <c r="D92" i="13"/>
  <c r="D91" i="13"/>
  <c r="D90" i="13"/>
  <c r="D89" i="13"/>
  <c r="T98" i="13"/>
  <c r="T92" i="13"/>
  <c r="T96" i="13"/>
  <c r="T91" i="13"/>
  <c r="T95" i="13"/>
  <c r="T90" i="13"/>
  <c r="T94" i="13"/>
  <c r="T100" i="13"/>
  <c r="Y111" i="13" s="1"/>
  <c r="AB50" i="7" s="1"/>
  <c r="T99" i="13"/>
  <c r="T89" i="13"/>
  <c r="T93" i="13"/>
  <c r="T97" i="13"/>
  <c r="D99" i="19"/>
  <c r="D100" i="19" s="1"/>
  <c r="D98" i="19"/>
  <c r="D97" i="19"/>
  <c r="D96" i="19"/>
  <c r="D95" i="19"/>
  <c r="D94" i="19"/>
  <c r="D93" i="19"/>
  <c r="D92" i="19"/>
  <c r="D91" i="19"/>
  <c r="D90" i="19"/>
  <c r="D89" i="19"/>
  <c r="D99" i="18"/>
  <c r="D100" i="18" s="1"/>
  <c r="D98" i="18"/>
  <c r="D97" i="18"/>
  <c r="D96" i="18"/>
  <c r="D95" i="18"/>
  <c r="D94" i="18"/>
  <c r="D93" i="18"/>
  <c r="D92" i="18"/>
  <c r="D91" i="18"/>
  <c r="D90" i="18"/>
  <c r="D89" i="18"/>
  <c r="D99" i="17"/>
  <c r="D100" i="17" s="1"/>
  <c r="D98" i="17"/>
  <c r="D97" i="17"/>
  <c r="D96" i="17"/>
  <c r="D95" i="17"/>
  <c r="D94" i="17"/>
  <c r="D93" i="17"/>
  <c r="D92" i="17"/>
  <c r="D91" i="17"/>
  <c r="D90" i="17"/>
  <c r="D89" i="17"/>
  <c r="D99" i="16"/>
  <c r="D100" i="16" s="1"/>
  <c r="D98" i="16"/>
  <c r="D97" i="16"/>
  <c r="D96" i="16"/>
  <c r="D95" i="16"/>
  <c r="D94" i="16"/>
  <c r="D93" i="16"/>
  <c r="D92" i="16"/>
  <c r="D91" i="16"/>
  <c r="D90" i="16"/>
  <c r="D89" i="16"/>
  <c r="D99" i="15"/>
  <c r="D100" i="15" s="1"/>
  <c r="D98" i="15"/>
  <c r="D97" i="15"/>
  <c r="D96" i="15"/>
  <c r="D95" i="15"/>
  <c r="D94" i="15"/>
  <c r="D93" i="15"/>
  <c r="D92" i="15"/>
  <c r="D91" i="15"/>
  <c r="D90" i="15"/>
  <c r="D89" i="15"/>
  <c r="D99" i="14"/>
  <c r="D100" i="14" s="1"/>
  <c r="D98" i="14"/>
  <c r="D97" i="14"/>
  <c r="D96" i="14"/>
  <c r="D95" i="14"/>
  <c r="D94" i="14"/>
  <c r="D93" i="14"/>
  <c r="D92" i="14"/>
  <c r="D91" i="14"/>
  <c r="D90" i="14"/>
  <c r="D89" i="14"/>
  <c r="D99" i="12"/>
  <c r="D100" i="12" s="1"/>
  <c r="D98" i="12"/>
  <c r="D97" i="12"/>
  <c r="D96" i="12"/>
  <c r="D95" i="12"/>
  <c r="D94" i="12"/>
  <c r="D93" i="12"/>
  <c r="D92" i="12"/>
  <c r="D91" i="12"/>
  <c r="D90" i="12"/>
  <c r="D89" i="12"/>
  <c r="D99" i="11"/>
  <c r="D100" i="11" s="1"/>
  <c r="D98" i="11"/>
  <c r="D97" i="11"/>
  <c r="D96" i="11"/>
  <c r="D95" i="11"/>
  <c r="D94" i="11"/>
  <c r="D93" i="11"/>
  <c r="D92" i="11"/>
  <c r="D91" i="11"/>
  <c r="D90" i="11"/>
  <c r="D89" i="11"/>
  <c r="D99" i="10"/>
  <c r="D100" i="10" s="1"/>
  <c r="D98" i="10"/>
  <c r="D97" i="10"/>
  <c r="D96" i="10"/>
  <c r="D95" i="10"/>
  <c r="D94" i="10"/>
  <c r="D93" i="10"/>
  <c r="D92" i="10"/>
  <c r="D91" i="10"/>
  <c r="D90" i="10"/>
  <c r="D89" i="10"/>
  <c r="D99" i="9"/>
  <c r="D100" i="9" s="1"/>
  <c r="D98" i="9"/>
  <c r="D97" i="9"/>
  <c r="D96" i="9"/>
  <c r="D95" i="9"/>
  <c r="D94" i="9"/>
  <c r="D93" i="9"/>
  <c r="D92" i="9"/>
  <c r="D91" i="9"/>
  <c r="D90" i="9"/>
  <c r="D89" i="9"/>
  <c r="D110" i="9" l="1"/>
  <c r="D108" i="9"/>
  <c r="D106" i="9"/>
  <c r="D104" i="9"/>
  <c r="D102" i="9"/>
  <c r="D111" i="9"/>
  <c r="D112" i="9" s="1"/>
  <c r="D109" i="9"/>
  <c r="D107" i="9"/>
  <c r="D105" i="9"/>
  <c r="D103" i="9"/>
  <c r="D101" i="9"/>
  <c r="AF28" i="8"/>
  <c r="AF29" i="7"/>
  <c r="D135" i="23"/>
  <c r="D134" i="23"/>
  <c r="D133" i="23"/>
  <c r="D132" i="23"/>
  <c r="D131" i="23"/>
  <c r="D130" i="23"/>
  <c r="D129" i="23"/>
  <c r="D128" i="23"/>
  <c r="D127" i="23"/>
  <c r="D126" i="23"/>
  <c r="D125" i="23"/>
  <c r="T160" i="23"/>
  <c r="T148" i="23"/>
  <c r="Y159" i="23" s="1"/>
  <c r="T136" i="23"/>
  <c r="Y147" i="23" s="1"/>
  <c r="D135" i="22"/>
  <c r="D134" i="22"/>
  <c r="D133" i="22"/>
  <c r="D132" i="22"/>
  <c r="D131" i="22"/>
  <c r="D130" i="22"/>
  <c r="D129" i="22"/>
  <c r="D128" i="22"/>
  <c r="D127" i="22"/>
  <c r="D126" i="22"/>
  <c r="D125" i="22"/>
  <c r="T160" i="22"/>
  <c r="T148" i="22"/>
  <c r="Y159" i="22" s="1"/>
  <c r="T136" i="22"/>
  <c r="Y147" i="22" s="1"/>
  <c r="AH28" i="7" s="1"/>
  <c r="CH28" i="7" s="1"/>
  <c r="D135" i="21"/>
  <c r="D134" i="21"/>
  <c r="D133" i="21"/>
  <c r="D132" i="21"/>
  <c r="D131" i="21"/>
  <c r="D130" i="21"/>
  <c r="D129" i="21"/>
  <c r="D128" i="21"/>
  <c r="D127" i="21"/>
  <c r="D126" i="21"/>
  <c r="D125" i="21"/>
  <c r="Y99" i="13"/>
  <c r="Z50" i="7" s="1"/>
  <c r="D111" i="13"/>
  <c r="D112" i="13" s="1"/>
  <c r="D110" i="13"/>
  <c r="D109" i="13"/>
  <c r="D108" i="13"/>
  <c r="D107" i="13"/>
  <c r="D106" i="13"/>
  <c r="D105" i="13"/>
  <c r="D104" i="13"/>
  <c r="D103" i="13"/>
  <c r="D102" i="13"/>
  <c r="D101" i="13"/>
  <c r="T112" i="13"/>
  <c r="Y123" i="13" s="1"/>
  <c r="AD50" i="7" s="1"/>
  <c r="AD50" i="8" s="1"/>
  <c r="D111" i="19"/>
  <c r="D112" i="19" s="1"/>
  <c r="D110" i="19"/>
  <c r="D109" i="19"/>
  <c r="D108" i="19"/>
  <c r="D107" i="19"/>
  <c r="D106" i="19"/>
  <c r="D105" i="19"/>
  <c r="D104" i="19"/>
  <c r="D103" i="19"/>
  <c r="D102" i="19"/>
  <c r="D101" i="19"/>
  <c r="D111" i="18"/>
  <c r="D112" i="18" s="1"/>
  <c r="D110" i="18"/>
  <c r="D109" i="18"/>
  <c r="D108" i="18"/>
  <c r="D107" i="18"/>
  <c r="D106" i="18"/>
  <c r="D105" i="18"/>
  <c r="D104" i="18"/>
  <c r="D103" i="18"/>
  <c r="D102" i="18"/>
  <c r="D101" i="18"/>
  <c r="D111" i="17"/>
  <c r="D112" i="17" s="1"/>
  <c r="D110" i="17"/>
  <c r="D109" i="17"/>
  <c r="D108" i="17"/>
  <c r="D107" i="17"/>
  <c r="D106" i="17"/>
  <c r="D105" i="17"/>
  <c r="D104" i="17"/>
  <c r="D103" i="17"/>
  <c r="D102" i="17"/>
  <c r="D101" i="17"/>
  <c r="D111" i="16"/>
  <c r="D112" i="16" s="1"/>
  <c r="D110" i="16"/>
  <c r="D109" i="16"/>
  <c r="D108" i="16"/>
  <c r="D107" i="16"/>
  <c r="D106" i="16"/>
  <c r="D105" i="16"/>
  <c r="D104" i="16"/>
  <c r="D103" i="16"/>
  <c r="D102" i="16"/>
  <c r="D101" i="16"/>
  <c r="D111" i="15"/>
  <c r="D112" i="15" s="1"/>
  <c r="D110" i="15"/>
  <c r="D109" i="15"/>
  <c r="D108" i="15"/>
  <c r="D107" i="15"/>
  <c r="D106" i="15"/>
  <c r="D105" i="15"/>
  <c r="D104" i="15"/>
  <c r="D103" i="15"/>
  <c r="D102" i="15"/>
  <c r="D101" i="15"/>
  <c r="D111" i="14"/>
  <c r="D112" i="14" s="1"/>
  <c r="D110" i="14"/>
  <c r="D109" i="14"/>
  <c r="D108" i="14"/>
  <c r="D107" i="14"/>
  <c r="D106" i="14"/>
  <c r="D105" i="14"/>
  <c r="D104" i="14"/>
  <c r="D103" i="14"/>
  <c r="D102" i="14"/>
  <c r="D101" i="14"/>
  <c r="D111" i="12"/>
  <c r="D112" i="12" s="1"/>
  <c r="D110" i="12"/>
  <c r="D109" i="12"/>
  <c r="D108" i="12"/>
  <c r="D107" i="12"/>
  <c r="D106" i="12"/>
  <c r="D105" i="12"/>
  <c r="D104" i="12"/>
  <c r="D103" i="12"/>
  <c r="D102" i="12"/>
  <c r="D101" i="12"/>
  <c r="D111" i="11"/>
  <c r="D112" i="11" s="1"/>
  <c r="D110" i="11"/>
  <c r="D109" i="11"/>
  <c r="D108" i="11"/>
  <c r="D107" i="11"/>
  <c r="D106" i="11"/>
  <c r="D105" i="11"/>
  <c r="D104" i="11"/>
  <c r="D103" i="11"/>
  <c r="D102" i="11"/>
  <c r="D101" i="11"/>
  <c r="D111" i="10"/>
  <c r="D112" i="10" s="1"/>
  <c r="D110" i="10"/>
  <c r="D109" i="10"/>
  <c r="D108" i="10"/>
  <c r="D107" i="10"/>
  <c r="D106" i="10"/>
  <c r="D105" i="10"/>
  <c r="D104" i="10"/>
  <c r="D103" i="10"/>
  <c r="D102" i="10"/>
  <c r="D101" i="10"/>
  <c r="D171" i="9"/>
  <c r="D170" i="9"/>
  <c r="D169" i="9"/>
  <c r="D168" i="9"/>
  <c r="D167" i="9"/>
  <c r="D166" i="9"/>
  <c r="D165" i="9"/>
  <c r="D164" i="9"/>
  <c r="D163" i="9"/>
  <c r="D162" i="9"/>
  <c r="D161" i="9"/>
  <c r="AH57" i="8"/>
  <c r="AG57" i="8"/>
  <c r="AF57" i="8"/>
  <c r="AE57" i="8"/>
  <c r="AD57" i="8"/>
  <c r="CB57" i="8" s="1"/>
  <c r="AC57" i="8"/>
  <c r="CA57" i="8" s="1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D57" i="8"/>
  <c r="C57" i="8"/>
  <c r="B57" i="8"/>
  <c r="A57" i="8"/>
  <c r="AH56" i="8"/>
  <c r="AG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D56" i="8"/>
  <c r="C56" i="8"/>
  <c r="A56" i="8"/>
  <c r="AH55" i="8"/>
  <c r="AG55" i="8"/>
  <c r="AE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D55" i="8"/>
  <c r="C55" i="8"/>
  <c r="A55" i="8"/>
  <c r="AH54" i="8"/>
  <c r="AG54" i="8"/>
  <c r="AE54" i="8"/>
  <c r="AC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D54" i="8"/>
  <c r="C54" i="8"/>
  <c r="A54" i="8"/>
  <c r="AU54" i="8" s="1"/>
  <c r="AH53" i="8"/>
  <c r="AG53" i="8"/>
  <c r="AF53" i="8"/>
  <c r="CE53" i="8" s="1"/>
  <c r="AE53" i="8"/>
  <c r="AC53" i="8"/>
  <c r="AA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D53" i="8"/>
  <c r="C53" i="8"/>
  <c r="A53" i="8"/>
  <c r="AU53" i="8" s="1"/>
  <c r="AH52" i="8"/>
  <c r="AG52" i="8"/>
  <c r="AE52" i="8"/>
  <c r="AC52" i="8"/>
  <c r="AA52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D52" i="8"/>
  <c r="C52" i="8"/>
  <c r="A52" i="8"/>
  <c r="AU52" i="8" s="1"/>
  <c r="AH51" i="8"/>
  <c r="AG51" i="8"/>
  <c r="AE51" i="8"/>
  <c r="AC51" i="8"/>
  <c r="AA51" i="8"/>
  <c r="Y51" i="8"/>
  <c r="W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D51" i="8"/>
  <c r="C51" i="8"/>
  <c r="A51" i="8"/>
  <c r="AU51" i="8" s="1"/>
  <c r="AH50" i="8"/>
  <c r="AG50" i="8"/>
  <c r="AE50" i="8"/>
  <c r="AC50" i="8"/>
  <c r="AA50" i="8"/>
  <c r="Y50" i="8"/>
  <c r="W50" i="8"/>
  <c r="U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D50" i="8"/>
  <c r="C50" i="8"/>
  <c r="A50" i="8"/>
  <c r="AU50" i="8" s="1"/>
  <c r="AH49" i="8"/>
  <c r="AG49" i="8"/>
  <c r="AE49" i="8"/>
  <c r="AC49" i="8"/>
  <c r="AA49" i="8"/>
  <c r="Y49" i="8"/>
  <c r="W49" i="8"/>
  <c r="U49" i="8"/>
  <c r="S49" i="8"/>
  <c r="Q49" i="8"/>
  <c r="P49" i="8"/>
  <c r="O49" i="8"/>
  <c r="N49" i="8"/>
  <c r="M49" i="8"/>
  <c r="L49" i="8"/>
  <c r="K49" i="8"/>
  <c r="J49" i="8"/>
  <c r="I49" i="8"/>
  <c r="H49" i="8"/>
  <c r="G49" i="8"/>
  <c r="D49" i="8"/>
  <c r="C49" i="8"/>
  <c r="A49" i="8"/>
  <c r="AU49" i="8" s="1"/>
  <c r="AH48" i="8"/>
  <c r="AG48" i="8"/>
  <c r="AE48" i="8"/>
  <c r="AC48" i="8"/>
  <c r="AA48" i="8"/>
  <c r="Y48" i="8"/>
  <c r="W48" i="8"/>
  <c r="U48" i="8"/>
  <c r="S48" i="8"/>
  <c r="Q48" i="8"/>
  <c r="O48" i="8"/>
  <c r="N48" i="8"/>
  <c r="M48" i="8"/>
  <c r="L48" i="8"/>
  <c r="K48" i="8"/>
  <c r="J48" i="8"/>
  <c r="I48" i="8"/>
  <c r="H48" i="8"/>
  <c r="G48" i="8"/>
  <c r="D48" i="8"/>
  <c r="C48" i="8"/>
  <c r="A48" i="8"/>
  <c r="AU48" i="8" s="1"/>
  <c r="AG47" i="8"/>
  <c r="AE47" i="8"/>
  <c r="AC47" i="8"/>
  <c r="AA47" i="8"/>
  <c r="Y47" i="8"/>
  <c r="W47" i="8"/>
  <c r="U47" i="8"/>
  <c r="S47" i="8"/>
  <c r="Q47" i="8"/>
  <c r="O47" i="8"/>
  <c r="M47" i="8"/>
  <c r="L47" i="8"/>
  <c r="K47" i="8"/>
  <c r="J47" i="8"/>
  <c r="I47" i="8"/>
  <c r="H47" i="8"/>
  <c r="G47" i="8"/>
  <c r="D47" i="8"/>
  <c r="C47" i="8"/>
  <c r="A47" i="8"/>
  <c r="AU47" i="8" s="1"/>
  <c r="AG46" i="8"/>
  <c r="AE46" i="8"/>
  <c r="AC46" i="8"/>
  <c r="AA46" i="8"/>
  <c r="P35" i="3" s="1"/>
  <c r="Y46" i="8"/>
  <c r="O35" i="3" s="1"/>
  <c r="W46" i="8"/>
  <c r="N35" i="3" s="1"/>
  <c r="U46" i="8"/>
  <c r="S46" i="8"/>
  <c r="Q46" i="8"/>
  <c r="O46" i="8"/>
  <c r="M46" i="8"/>
  <c r="K46" i="8"/>
  <c r="J46" i="8"/>
  <c r="I46" i="8"/>
  <c r="H46" i="8"/>
  <c r="G46" i="8"/>
  <c r="D46" i="8"/>
  <c r="C46" i="8"/>
  <c r="A46" i="8"/>
  <c r="AU46" i="8" s="1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F45" i="8" s="1"/>
  <c r="G45" i="8"/>
  <c r="E45" i="8" s="1"/>
  <c r="D45" i="8"/>
  <c r="C45" i="8"/>
  <c r="AH44" i="8"/>
  <c r="AG44" i="8"/>
  <c r="AF44" i="8"/>
  <c r="S34" i="3" s="1"/>
  <c r="AE44" i="8"/>
  <c r="R34" i="3" s="1"/>
  <c r="AD44" i="8"/>
  <c r="AC44" i="8"/>
  <c r="AA22" i="20" s="1"/>
  <c r="AA18" i="20" s="1"/>
  <c r="AA23" i="20" s="1"/>
  <c r="AB44" i="8"/>
  <c r="AA44" i="8"/>
  <c r="Y22" i="20" s="1"/>
  <c r="Y18" i="20" s="1"/>
  <c r="Y23" i="20" s="1"/>
  <c r="Z44" i="8"/>
  <c r="Y44" i="8"/>
  <c r="W22" i="20" s="1"/>
  <c r="W18" i="20" s="1"/>
  <c r="W23" i="20" s="1"/>
  <c r="X44" i="8"/>
  <c r="W44" i="8"/>
  <c r="U22" i="20" s="1"/>
  <c r="U18" i="20" s="1"/>
  <c r="U23" i="20" s="1"/>
  <c r="V44" i="8"/>
  <c r="U44" i="8"/>
  <c r="S22" i="20" s="1"/>
  <c r="S18" i="20" s="1"/>
  <c r="S23" i="20" s="1"/>
  <c r="T44" i="8"/>
  <c r="S44" i="8"/>
  <c r="Q22" i="20" s="1"/>
  <c r="Q18" i="20" s="1"/>
  <c r="Q23" i="20" s="1"/>
  <c r="R44" i="8"/>
  <c r="Q44" i="8"/>
  <c r="O22" i="20" s="1"/>
  <c r="O18" i="20" s="1"/>
  <c r="O23" i="20" s="1"/>
  <c r="P44" i="8"/>
  <c r="O44" i="8"/>
  <c r="M22" i="20" s="1"/>
  <c r="M18" i="20" s="1"/>
  <c r="M23" i="20" s="1"/>
  <c r="N44" i="8"/>
  <c r="M44" i="8"/>
  <c r="K22" i="20" s="1"/>
  <c r="K18" i="20" s="1"/>
  <c r="K23" i="20" s="1"/>
  <c r="L44" i="8"/>
  <c r="K44" i="8"/>
  <c r="I22" i="20" s="1"/>
  <c r="I18" i="20" s="1"/>
  <c r="I23" i="20" s="1"/>
  <c r="J44" i="8"/>
  <c r="I44" i="8"/>
  <c r="G22" i="20" s="1"/>
  <c r="G18" i="20" s="1"/>
  <c r="G23" i="20" s="1"/>
  <c r="H44" i="8"/>
  <c r="G44" i="8"/>
  <c r="E22" i="20" s="1"/>
  <c r="E18" i="20" s="1"/>
  <c r="E23" i="20" s="1"/>
  <c r="D44" i="8"/>
  <c r="C44" i="8"/>
  <c r="A44" i="8"/>
  <c r="AU44" i="8" s="1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F43" i="8" s="1"/>
  <c r="G43" i="8"/>
  <c r="D43" i="8"/>
  <c r="C43" i="8"/>
  <c r="B43" i="8"/>
  <c r="AH40" i="8"/>
  <c r="AG40" i="8"/>
  <c r="AF40" i="8"/>
  <c r="AE40" i="8"/>
  <c r="AD40" i="8"/>
  <c r="CB40" i="8" s="1"/>
  <c r="AC40" i="8"/>
  <c r="AB40" i="8"/>
  <c r="BY40" i="8" s="1"/>
  <c r="AA40" i="8"/>
  <c r="Z40" i="8"/>
  <c r="BV40" i="8" s="1"/>
  <c r="Y40" i="8"/>
  <c r="X40" i="8"/>
  <c r="BS40" i="8" s="1"/>
  <c r="W40" i="8"/>
  <c r="V40" i="8"/>
  <c r="BP40" i="8" s="1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D40" i="8"/>
  <c r="C40" i="8"/>
  <c r="B40" i="8"/>
  <c r="AV40" i="8" s="1"/>
  <c r="A40" i="8"/>
  <c r="AU40" i="8" s="1"/>
  <c r="AH39" i="8"/>
  <c r="AG39" i="8"/>
  <c r="AF39" i="8"/>
  <c r="AE39" i="8"/>
  <c r="AD39" i="8"/>
  <c r="CB39" i="8" s="1"/>
  <c r="AC39" i="8"/>
  <c r="AB39" i="8"/>
  <c r="BY39" i="8" s="1"/>
  <c r="AA39" i="8"/>
  <c r="Z39" i="8"/>
  <c r="BV39" i="8" s="1"/>
  <c r="Y39" i="8"/>
  <c r="X39" i="8"/>
  <c r="BS39" i="8" s="1"/>
  <c r="W39" i="8"/>
  <c r="V39" i="8"/>
  <c r="BP39" i="8" s="1"/>
  <c r="U39" i="8"/>
  <c r="T39" i="8"/>
  <c r="BM39" i="8" s="1"/>
  <c r="S39" i="8"/>
  <c r="R39" i="8"/>
  <c r="BJ39" i="8" s="1"/>
  <c r="Q39" i="8"/>
  <c r="P39" i="8"/>
  <c r="BG39" i="8" s="1"/>
  <c r="O39" i="8"/>
  <c r="N39" i="8"/>
  <c r="BD39" i="8" s="1"/>
  <c r="M39" i="8"/>
  <c r="L39" i="8"/>
  <c r="BA39" i="8" s="1"/>
  <c r="K39" i="8"/>
  <c r="J39" i="8"/>
  <c r="AX39" i="8" s="1"/>
  <c r="I39" i="8"/>
  <c r="H39" i="8"/>
  <c r="F39" i="8" s="1"/>
  <c r="G39" i="8"/>
  <c r="D39" i="8"/>
  <c r="C39" i="8"/>
  <c r="B39" i="8"/>
  <c r="AV39" i="8" s="1"/>
  <c r="A39" i="8"/>
  <c r="AU39" i="8" s="1"/>
  <c r="AH38" i="8"/>
  <c r="AG38" i="8"/>
  <c r="AF38" i="8"/>
  <c r="AE38" i="8"/>
  <c r="AD38" i="8"/>
  <c r="CB38" i="8" s="1"/>
  <c r="AC38" i="8"/>
  <c r="AB38" i="8"/>
  <c r="BY38" i="8" s="1"/>
  <c r="AA38" i="8"/>
  <c r="Z38" i="8"/>
  <c r="BV38" i="8" s="1"/>
  <c r="Y38" i="8"/>
  <c r="X38" i="8"/>
  <c r="BS38" i="8" s="1"/>
  <c r="W38" i="8"/>
  <c r="V38" i="8"/>
  <c r="BP38" i="8" s="1"/>
  <c r="U38" i="8"/>
  <c r="T38" i="8"/>
  <c r="BM38" i="8" s="1"/>
  <c r="S38" i="8"/>
  <c r="R38" i="8"/>
  <c r="BJ38" i="8" s="1"/>
  <c r="Q38" i="8"/>
  <c r="P38" i="8"/>
  <c r="BG38" i="8" s="1"/>
  <c r="O38" i="8"/>
  <c r="N38" i="8"/>
  <c r="BD38" i="8" s="1"/>
  <c r="L38" i="8"/>
  <c r="J38" i="8"/>
  <c r="I38" i="8"/>
  <c r="G30" i="3" s="1"/>
  <c r="H38" i="8"/>
  <c r="G38" i="8"/>
  <c r="F30" i="3" s="1"/>
  <c r="D38" i="8"/>
  <c r="C38" i="8"/>
  <c r="B38" i="8"/>
  <c r="AV38" i="8" s="1"/>
  <c r="A38" i="8"/>
  <c r="AU38" i="8" s="1"/>
  <c r="AH37" i="8"/>
  <c r="AG37" i="8"/>
  <c r="AF37" i="8"/>
  <c r="AE37" i="8"/>
  <c r="AD37" i="8"/>
  <c r="AC37" i="8"/>
  <c r="AB37" i="8"/>
  <c r="BY37" i="8" s="1"/>
  <c r="AA37" i="8"/>
  <c r="Z37" i="8"/>
  <c r="Y37" i="8"/>
  <c r="X37" i="8"/>
  <c r="BS37" i="8" s="1"/>
  <c r="W37" i="8"/>
  <c r="V37" i="8"/>
  <c r="U37" i="8"/>
  <c r="T37" i="8"/>
  <c r="BM37" i="8" s="1"/>
  <c r="S37" i="8"/>
  <c r="R37" i="8"/>
  <c r="Q37" i="8"/>
  <c r="P37" i="8"/>
  <c r="BG37" i="8" s="1"/>
  <c r="O37" i="8"/>
  <c r="N37" i="8"/>
  <c r="M37" i="8"/>
  <c r="L37" i="8"/>
  <c r="BA37" i="8" s="1"/>
  <c r="K37" i="8"/>
  <c r="J37" i="8"/>
  <c r="I37" i="8"/>
  <c r="H37" i="8"/>
  <c r="F37" i="8" s="1"/>
  <c r="G37" i="8"/>
  <c r="D37" i="8"/>
  <c r="C37" i="8"/>
  <c r="B37" i="8"/>
  <c r="AV37" i="8" s="1"/>
  <c r="A37" i="8"/>
  <c r="AU37" i="8" s="1"/>
  <c r="AH36" i="8"/>
  <c r="AG36" i="8"/>
  <c r="AF36" i="8"/>
  <c r="AE36" i="8"/>
  <c r="AD36" i="8"/>
  <c r="AD42" i="8" s="1"/>
  <c r="AC36" i="8"/>
  <c r="AC42" i="8" s="1"/>
  <c r="AB36" i="8"/>
  <c r="AB42" i="8" s="1"/>
  <c r="AA36" i="8"/>
  <c r="AA42" i="8" s="1"/>
  <c r="Z36" i="8"/>
  <c r="Z42" i="8" s="1"/>
  <c r="Y36" i="8"/>
  <c r="Y42" i="8" s="1"/>
  <c r="X36" i="8"/>
  <c r="X42" i="8" s="1"/>
  <c r="W36" i="8"/>
  <c r="W42" i="8" s="1"/>
  <c r="V36" i="8"/>
  <c r="U36" i="8"/>
  <c r="U42" i="8" s="1"/>
  <c r="T36" i="8"/>
  <c r="T42" i="8" s="1"/>
  <c r="S36" i="8"/>
  <c r="S42" i="8" s="1"/>
  <c r="R36" i="8"/>
  <c r="R42" i="8" s="1"/>
  <c r="Q36" i="8"/>
  <c r="Q42" i="8" s="1"/>
  <c r="P36" i="8"/>
  <c r="O36" i="8"/>
  <c r="O42" i="8" s="1"/>
  <c r="N36" i="8"/>
  <c r="M36" i="8"/>
  <c r="L36" i="8"/>
  <c r="K36" i="8"/>
  <c r="J36" i="8"/>
  <c r="I36" i="8"/>
  <c r="I42" i="8" s="1"/>
  <c r="H36" i="8"/>
  <c r="H42" i="8" s="1"/>
  <c r="G36" i="8"/>
  <c r="D36" i="8"/>
  <c r="C36" i="8"/>
  <c r="B36" i="8"/>
  <c r="B61" i="8" s="1"/>
  <c r="A36" i="8"/>
  <c r="AU36" i="8" s="1"/>
  <c r="AV29" i="8"/>
  <c r="CH26" i="8"/>
  <c r="CG26" i="8"/>
  <c r="CE26" i="8"/>
  <c r="CD26" i="8"/>
  <c r="CB26" i="8"/>
  <c r="CA26" i="8"/>
  <c r="BY26" i="8"/>
  <c r="BX26" i="8"/>
  <c r="BV26" i="8"/>
  <c r="BU26" i="8"/>
  <c r="BS26" i="8"/>
  <c r="BR26" i="8"/>
  <c r="BP26" i="8"/>
  <c r="BO26" i="8"/>
  <c r="BM26" i="8"/>
  <c r="BL26" i="8"/>
  <c r="BJ26" i="8"/>
  <c r="BI26" i="8"/>
  <c r="BG26" i="8"/>
  <c r="BF26" i="8"/>
  <c r="BD26" i="8"/>
  <c r="BC26" i="8"/>
  <c r="BA26" i="8"/>
  <c r="AZ26" i="8"/>
  <c r="AX26" i="8"/>
  <c r="AW26" i="8"/>
  <c r="AV26" i="8"/>
  <c r="A26" i="8"/>
  <c r="AU26" i="8" s="1"/>
  <c r="CH25" i="8"/>
  <c r="CG25" i="8"/>
  <c r="CE25" i="8"/>
  <c r="CD25" i="8"/>
  <c r="CB25" i="8"/>
  <c r="CA25" i="8"/>
  <c r="BY25" i="8"/>
  <c r="BX25" i="8"/>
  <c r="BV25" i="8"/>
  <c r="BU25" i="8"/>
  <c r="BS25" i="8"/>
  <c r="BR25" i="8"/>
  <c r="BP25" i="8"/>
  <c r="BO25" i="8"/>
  <c r="BM25" i="8"/>
  <c r="BL25" i="8"/>
  <c r="BJ25" i="8"/>
  <c r="BI25" i="8"/>
  <c r="BG25" i="8"/>
  <c r="BF25" i="8"/>
  <c r="BD25" i="8"/>
  <c r="BC25" i="8"/>
  <c r="BA25" i="8"/>
  <c r="AZ25" i="8"/>
  <c r="AX25" i="8"/>
  <c r="AW25" i="8"/>
  <c r="AV25" i="8"/>
  <c r="A25" i="8"/>
  <c r="AU25" i="8" s="1"/>
  <c r="AH24" i="8"/>
  <c r="AG24" i="8"/>
  <c r="AF24" i="8"/>
  <c r="AE24" i="8"/>
  <c r="AD24" i="8"/>
  <c r="CB24" i="8" s="1"/>
  <c r="AC24" i="8"/>
  <c r="AB24" i="8"/>
  <c r="BY24" i="8" s="1"/>
  <c r="AA24" i="8"/>
  <c r="Z24" i="8"/>
  <c r="BV24" i="8" s="1"/>
  <c r="Y24" i="8"/>
  <c r="X24" i="8"/>
  <c r="BS24" i="8" s="1"/>
  <c r="W24" i="8"/>
  <c r="V24" i="8"/>
  <c r="BP24" i="8" s="1"/>
  <c r="U24" i="8"/>
  <c r="T24" i="8"/>
  <c r="BM24" i="8" s="1"/>
  <c r="S24" i="8"/>
  <c r="R24" i="8"/>
  <c r="BJ24" i="8" s="1"/>
  <c r="Q24" i="8"/>
  <c r="P24" i="8"/>
  <c r="BG24" i="8" s="1"/>
  <c r="O24" i="8"/>
  <c r="N24" i="8"/>
  <c r="BD24" i="8" s="1"/>
  <c r="M24" i="8"/>
  <c r="L24" i="8"/>
  <c r="BA24" i="8" s="1"/>
  <c r="K24" i="8"/>
  <c r="J24" i="8"/>
  <c r="AX24" i="8" s="1"/>
  <c r="I24" i="8"/>
  <c r="H24" i="8"/>
  <c r="F24" i="8" s="1"/>
  <c r="G24" i="8"/>
  <c r="D24" i="8"/>
  <c r="C24" i="8"/>
  <c r="B24" i="8"/>
  <c r="AV24" i="8" s="1"/>
  <c r="A24" i="8"/>
  <c r="AU24" i="8" s="1"/>
  <c r="AH23" i="8"/>
  <c r="AG23" i="8"/>
  <c r="AF23" i="8"/>
  <c r="AE23" i="8"/>
  <c r="AD23" i="8"/>
  <c r="AC23" i="8"/>
  <c r="AB23" i="8"/>
  <c r="BY23" i="8" s="1"/>
  <c r="AA23" i="8"/>
  <c r="Z23" i="8"/>
  <c r="BV23" i="8" s="1"/>
  <c r="Y23" i="8"/>
  <c r="X23" i="8"/>
  <c r="BS23" i="8" s="1"/>
  <c r="W23" i="8"/>
  <c r="V23" i="8"/>
  <c r="BP23" i="8" s="1"/>
  <c r="U23" i="8"/>
  <c r="T23" i="8"/>
  <c r="BM23" i="8" s="1"/>
  <c r="S23" i="8"/>
  <c r="R23" i="8"/>
  <c r="BJ23" i="8" s="1"/>
  <c r="Q23" i="8"/>
  <c r="P23" i="8"/>
  <c r="BG23" i="8" s="1"/>
  <c r="O23" i="8"/>
  <c r="N23" i="8"/>
  <c r="BD23" i="8" s="1"/>
  <c r="M23" i="8"/>
  <c r="L23" i="8"/>
  <c r="BA23" i="8" s="1"/>
  <c r="K23" i="8"/>
  <c r="J23" i="8"/>
  <c r="AX23" i="8" s="1"/>
  <c r="I23" i="8"/>
  <c r="H23" i="8"/>
  <c r="F23" i="8" s="1"/>
  <c r="G23" i="8"/>
  <c r="D23" i="8"/>
  <c r="C23" i="8"/>
  <c r="B23" i="8"/>
  <c r="AV23" i="8" s="1"/>
  <c r="A23" i="8"/>
  <c r="AU23" i="8" s="1"/>
  <c r="AH22" i="8"/>
  <c r="AG22" i="8"/>
  <c r="AF22" i="8"/>
  <c r="AE22" i="8"/>
  <c r="AD22" i="8"/>
  <c r="CB22" i="8" s="1"/>
  <c r="AC22" i="8"/>
  <c r="AB22" i="8"/>
  <c r="BY22" i="8" s="1"/>
  <c r="AA22" i="8"/>
  <c r="Z22" i="8"/>
  <c r="BV22" i="8" s="1"/>
  <c r="Y22" i="8"/>
  <c r="X22" i="8"/>
  <c r="BS22" i="8" s="1"/>
  <c r="W22" i="8"/>
  <c r="V22" i="8"/>
  <c r="BP22" i="8" s="1"/>
  <c r="U22" i="8"/>
  <c r="T22" i="8"/>
  <c r="BM22" i="8" s="1"/>
  <c r="S22" i="8"/>
  <c r="R22" i="8"/>
  <c r="BJ22" i="8" s="1"/>
  <c r="Q22" i="8"/>
  <c r="P22" i="8"/>
  <c r="BG22" i="8" s="1"/>
  <c r="O22" i="8"/>
  <c r="N22" i="8"/>
  <c r="BD22" i="8" s="1"/>
  <c r="M22" i="8"/>
  <c r="L22" i="8"/>
  <c r="BA22" i="8" s="1"/>
  <c r="K22" i="8"/>
  <c r="J22" i="8"/>
  <c r="AX22" i="8" s="1"/>
  <c r="I22" i="8"/>
  <c r="H22" i="8"/>
  <c r="F22" i="8" s="1"/>
  <c r="G22" i="8"/>
  <c r="D22" i="8"/>
  <c r="C22" i="8"/>
  <c r="B22" i="8"/>
  <c r="AV22" i="8" s="1"/>
  <c r="A22" i="8"/>
  <c r="AU22" i="8" s="1"/>
  <c r="AH21" i="8"/>
  <c r="AG21" i="8"/>
  <c r="AF21" i="8"/>
  <c r="AE21" i="8"/>
  <c r="AD21" i="8"/>
  <c r="CB21" i="8" s="1"/>
  <c r="AC21" i="8"/>
  <c r="AB21" i="8"/>
  <c r="BY21" i="8" s="1"/>
  <c r="AA21" i="8"/>
  <c r="Z21" i="8"/>
  <c r="BV21" i="8" s="1"/>
  <c r="Y21" i="8"/>
  <c r="X21" i="8"/>
  <c r="BS21" i="8" s="1"/>
  <c r="W21" i="8"/>
  <c r="V21" i="8"/>
  <c r="BP21" i="8" s="1"/>
  <c r="U21" i="8"/>
  <c r="T21" i="8"/>
  <c r="BM21" i="8" s="1"/>
  <c r="S21" i="8"/>
  <c r="R21" i="8"/>
  <c r="BJ21" i="8" s="1"/>
  <c r="Q21" i="8"/>
  <c r="P21" i="8"/>
  <c r="BG21" i="8" s="1"/>
  <c r="O21" i="8"/>
  <c r="N21" i="8"/>
  <c r="BD21" i="8" s="1"/>
  <c r="M21" i="8"/>
  <c r="L21" i="8"/>
  <c r="BA21" i="8" s="1"/>
  <c r="K21" i="8"/>
  <c r="J21" i="8"/>
  <c r="AX21" i="8" s="1"/>
  <c r="I21" i="8"/>
  <c r="H21" i="8"/>
  <c r="F21" i="8" s="1"/>
  <c r="G21" i="8"/>
  <c r="D21" i="8"/>
  <c r="C21" i="8"/>
  <c r="A21" i="8"/>
  <c r="AU21" i="8" s="1"/>
  <c r="AH20" i="8"/>
  <c r="AG20" i="8"/>
  <c r="AF20" i="8"/>
  <c r="AE20" i="8"/>
  <c r="AD20" i="8"/>
  <c r="AC20" i="8"/>
  <c r="AB20" i="8"/>
  <c r="BY20" i="8" s="1"/>
  <c r="AA20" i="8"/>
  <c r="Z20" i="8"/>
  <c r="Y20" i="8"/>
  <c r="X20" i="8"/>
  <c r="BS20" i="8" s="1"/>
  <c r="W20" i="8"/>
  <c r="V20" i="8"/>
  <c r="U20" i="8"/>
  <c r="T20" i="8"/>
  <c r="BM20" i="8" s="1"/>
  <c r="S20" i="8"/>
  <c r="R20" i="8"/>
  <c r="Q20" i="8"/>
  <c r="P20" i="8"/>
  <c r="BG20" i="8" s="1"/>
  <c r="O20" i="8"/>
  <c r="BF20" i="8" s="1"/>
  <c r="N20" i="8"/>
  <c r="M20" i="8"/>
  <c r="L20" i="8"/>
  <c r="BA20" i="8" s="1"/>
  <c r="K20" i="8"/>
  <c r="J20" i="8"/>
  <c r="I20" i="8"/>
  <c r="H20" i="8"/>
  <c r="F20" i="8" s="1"/>
  <c r="G20" i="8"/>
  <c r="D20" i="8"/>
  <c r="C20" i="8"/>
  <c r="B20" i="8"/>
  <c r="AV20" i="8" s="1"/>
  <c r="A20" i="8"/>
  <c r="AU20" i="8" s="1"/>
  <c r="AH19" i="8"/>
  <c r="AG19" i="8"/>
  <c r="AF19" i="8"/>
  <c r="AE19" i="8"/>
  <c r="AD19" i="8"/>
  <c r="AC19" i="8"/>
  <c r="AB19" i="8"/>
  <c r="BY19" i="8" s="1"/>
  <c r="AA19" i="8"/>
  <c r="Z19" i="8"/>
  <c r="Y19" i="8"/>
  <c r="X19" i="8"/>
  <c r="BS19" i="8" s="1"/>
  <c r="W19" i="8"/>
  <c r="V19" i="8"/>
  <c r="U19" i="8"/>
  <c r="T19" i="8"/>
  <c r="BM19" i="8" s="1"/>
  <c r="S19" i="8"/>
  <c r="BL19" i="8" s="1"/>
  <c r="R19" i="8"/>
  <c r="Q19" i="8"/>
  <c r="P19" i="8"/>
  <c r="BG19" i="8" s="1"/>
  <c r="O19" i="8"/>
  <c r="BF19" i="8" s="1"/>
  <c r="N19" i="8"/>
  <c r="M19" i="8"/>
  <c r="L19" i="8"/>
  <c r="BA19" i="8" s="1"/>
  <c r="K19" i="8"/>
  <c r="J19" i="8"/>
  <c r="I19" i="8"/>
  <c r="H19" i="8"/>
  <c r="F19" i="8" s="1"/>
  <c r="G19" i="8"/>
  <c r="D19" i="8"/>
  <c r="C19" i="8"/>
  <c r="B19" i="8"/>
  <c r="AV19" i="8" s="1"/>
  <c r="A19" i="8"/>
  <c r="AU19" i="8" s="1"/>
  <c r="AH18" i="8"/>
  <c r="AG18" i="8"/>
  <c r="AF18" i="8"/>
  <c r="AE18" i="8"/>
  <c r="AD18" i="8"/>
  <c r="AC18" i="8"/>
  <c r="AB18" i="8"/>
  <c r="BY18" i="8" s="1"/>
  <c r="AA18" i="8"/>
  <c r="Z18" i="8"/>
  <c r="Y18" i="8"/>
  <c r="X18" i="8"/>
  <c r="BS18" i="8" s="1"/>
  <c r="W18" i="8"/>
  <c r="V18" i="8"/>
  <c r="U18" i="8"/>
  <c r="T18" i="8"/>
  <c r="BM18" i="8" s="1"/>
  <c r="S18" i="8"/>
  <c r="R18" i="8"/>
  <c r="Q18" i="8"/>
  <c r="P18" i="8"/>
  <c r="BG18" i="8" s="1"/>
  <c r="O18" i="8"/>
  <c r="N18" i="8"/>
  <c r="M18" i="8"/>
  <c r="L18" i="8"/>
  <c r="BA18" i="8" s="1"/>
  <c r="K18" i="8"/>
  <c r="J18" i="8"/>
  <c r="I18" i="8"/>
  <c r="H18" i="8"/>
  <c r="F18" i="8" s="1"/>
  <c r="G18" i="8"/>
  <c r="D18" i="8"/>
  <c r="C18" i="8"/>
  <c r="A18" i="8"/>
  <c r="AU18" i="8" s="1"/>
  <c r="AH17" i="8"/>
  <c r="AG17" i="8"/>
  <c r="AF17" i="8"/>
  <c r="AE17" i="8"/>
  <c r="AD17" i="8"/>
  <c r="CB17" i="8" s="1"/>
  <c r="AC17" i="8"/>
  <c r="AB17" i="8"/>
  <c r="AA17" i="8"/>
  <c r="Z17" i="8"/>
  <c r="BV17" i="8" s="1"/>
  <c r="Y17" i="8"/>
  <c r="X17" i="8"/>
  <c r="W17" i="8"/>
  <c r="V17" i="8"/>
  <c r="BP17" i="8" s="1"/>
  <c r="U17" i="8"/>
  <c r="T17" i="8"/>
  <c r="S17" i="8"/>
  <c r="R17" i="8"/>
  <c r="BJ17" i="8" s="1"/>
  <c r="Q17" i="8"/>
  <c r="P17" i="8"/>
  <c r="O17" i="8"/>
  <c r="N17" i="8"/>
  <c r="BD17" i="8" s="1"/>
  <c r="M17" i="8"/>
  <c r="L17" i="8"/>
  <c r="K17" i="8"/>
  <c r="J17" i="8"/>
  <c r="I17" i="8"/>
  <c r="H17" i="8"/>
  <c r="G17" i="8"/>
  <c r="D17" i="8"/>
  <c r="C17" i="8"/>
  <c r="B17" i="8"/>
  <c r="AV17" i="8" s="1"/>
  <c r="A17" i="8"/>
  <c r="AU17" i="8" s="1"/>
  <c r="AH16" i="8"/>
  <c r="AG16" i="8"/>
  <c r="AF16" i="8"/>
  <c r="AE16" i="8"/>
  <c r="AD16" i="8"/>
  <c r="CB16" i="8" s="1"/>
  <c r="AC16" i="8"/>
  <c r="AB16" i="8"/>
  <c r="AA16" i="8"/>
  <c r="Z16" i="8"/>
  <c r="Y16" i="8"/>
  <c r="X16" i="8"/>
  <c r="W16" i="8"/>
  <c r="V16" i="8"/>
  <c r="U16" i="8"/>
  <c r="T16" i="8"/>
  <c r="S16" i="8"/>
  <c r="R16" i="8"/>
  <c r="BJ16" i="8" s="1"/>
  <c r="Q16" i="8"/>
  <c r="P16" i="8"/>
  <c r="O16" i="8"/>
  <c r="N16" i="8"/>
  <c r="M16" i="8"/>
  <c r="L16" i="8"/>
  <c r="K16" i="8"/>
  <c r="J16" i="8"/>
  <c r="I16" i="8"/>
  <c r="H16" i="8"/>
  <c r="G16" i="8"/>
  <c r="D16" i="8"/>
  <c r="C16" i="8"/>
  <c r="B16" i="8"/>
  <c r="AV16" i="8" s="1"/>
  <c r="A16" i="8"/>
  <c r="AU16" i="8" s="1"/>
  <c r="AH15" i="8"/>
  <c r="AG15" i="8"/>
  <c r="AF15" i="8"/>
  <c r="AE15" i="8"/>
  <c r="AD15" i="8"/>
  <c r="CB15" i="8" s="1"/>
  <c r="AC15" i="8"/>
  <c r="AB15" i="8"/>
  <c r="AA15" i="8"/>
  <c r="Z15" i="8"/>
  <c r="BV15" i="8" s="1"/>
  <c r="Y15" i="8"/>
  <c r="X15" i="8"/>
  <c r="W15" i="8"/>
  <c r="V15" i="8"/>
  <c r="BP15" i="8" s="1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D15" i="8"/>
  <c r="C15" i="8"/>
  <c r="B15" i="8"/>
  <c r="AV15" i="8" s="1"/>
  <c r="A15" i="8"/>
  <c r="AU15" i="8" s="1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D14" i="8"/>
  <c r="C14" i="8"/>
  <c r="B14" i="8"/>
  <c r="A14" i="8"/>
  <c r="AU14" i="8" s="1"/>
  <c r="AH10" i="8"/>
  <c r="AG10" i="8"/>
  <c r="CG10" i="8" s="1"/>
  <c r="R28" i="2" s="1"/>
  <c r="R26" i="2" s="1"/>
  <c r="AF10" i="8"/>
  <c r="AE10" i="8"/>
  <c r="CD10" i="8" s="1"/>
  <c r="Q28" i="2" s="1"/>
  <c r="Q26" i="2" s="1"/>
  <c r="AD10" i="8"/>
  <c r="AC10" i="8"/>
  <c r="AB10" i="8"/>
  <c r="AA10" i="8"/>
  <c r="BX10" i="8" s="1"/>
  <c r="O28" i="2" s="1"/>
  <c r="Z10" i="8"/>
  <c r="Y10" i="8"/>
  <c r="X10" i="8"/>
  <c r="W10" i="8"/>
  <c r="BR10" i="8" s="1"/>
  <c r="M28" i="2" s="1"/>
  <c r="V10" i="8"/>
  <c r="U10" i="8"/>
  <c r="T10" i="8"/>
  <c r="S10" i="8"/>
  <c r="BL10" i="8" s="1"/>
  <c r="K28" i="2" s="1"/>
  <c r="R10" i="8"/>
  <c r="Q10" i="8"/>
  <c r="P10" i="8"/>
  <c r="O10" i="8"/>
  <c r="N10" i="8"/>
  <c r="M10" i="8"/>
  <c r="L10" i="8"/>
  <c r="BA10" i="8" s="1"/>
  <c r="K10" i="8"/>
  <c r="J10" i="8"/>
  <c r="F10" i="8" s="1"/>
  <c r="I10" i="8"/>
  <c r="H10" i="8"/>
  <c r="G10" i="8"/>
  <c r="D10" i="8"/>
  <c r="C10" i="8"/>
  <c r="B10" i="8"/>
  <c r="AV10" i="8" s="1"/>
  <c r="A10" i="8"/>
  <c r="AU10" i="8" s="1"/>
  <c r="AH9" i="8"/>
  <c r="AG9" i="8"/>
  <c r="AF9" i="8"/>
  <c r="CE9" i="8" s="1"/>
  <c r="AE9" i="8"/>
  <c r="CD9" i="8" s="1"/>
  <c r="AD9" i="8"/>
  <c r="CB9" i="8" s="1"/>
  <c r="AC9" i="8"/>
  <c r="AB9" i="8"/>
  <c r="BY9" i="8" s="1"/>
  <c r="AA9" i="8"/>
  <c r="BX9" i="8" s="1"/>
  <c r="Z9" i="8"/>
  <c r="BV9" i="8" s="1"/>
  <c r="Y9" i="8"/>
  <c r="X9" i="8"/>
  <c r="BS9" i="8" s="1"/>
  <c r="W9" i="8"/>
  <c r="BR9" i="8" s="1"/>
  <c r="V9" i="8"/>
  <c r="BP9" i="8" s="1"/>
  <c r="U9" i="8"/>
  <c r="T9" i="8"/>
  <c r="BM9" i="8" s="1"/>
  <c r="S9" i="8"/>
  <c r="BL9" i="8" s="1"/>
  <c r="R9" i="8"/>
  <c r="BJ9" i="8" s="1"/>
  <c r="Q9" i="8"/>
  <c r="P9" i="8"/>
  <c r="BG9" i="8" s="1"/>
  <c r="O9" i="8"/>
  <c r="BF9" i="8" s="1"/>
  <c r="N9" i="8"/>
  <c r="BD9" i="8" s="1"/>
  <c r="M9" i="8"/>
  <c r="L9" i="8"/>
  <c r="K9" i="8"/>
  <c r="AZ9" i="8" s="1"/>
  <c r="J9" i="8"/>
  <c r="I9" i="8"/>
  <c r="H9" i="8"/>
  <c r="G9" i="8"/>
  <c r="E9" i="8" s="1"/>
  <c r="D9" i="8"/>
  <c r="C9" i="8"/>
  <c r="B9" i="8"/>
  <c r="AV9" i="8" s="1"/>
  <c r="A9" i="8"/>
  <c r="AU9" i="8" s="1"/>
  <c r="AH8" i="8"/>
  <c r="AG8" i="8"/>
  <c r="AF8" i="8"/>
  <c r="AE8" i="8"/>
  <c r="CD8" i="8" s="1"/>
  <c r="AD8" i="8"/>
  <c r="CB8" i="8" s="1"/>
  <c r="AC8" i="8"/>
  <c r="AB8" i="8"/>
  <c r="BY8" i="8" s="1"/>
  <c r="AA8" i="8"/>
  <c r="BX8" i="8" s="1"/>
  <c r="Z8" i="8"/>
  <c r="BV8" i="8" s="1"/>
  <c r="Y8" i="8"/>
  <c r="X8" i="8"/>
  <c r="BS8" i="8" s="1"/>
  <c r="W8" i="8"/>
  <c r="BR8" i="8" s="1"/>
  <c r="V8" i="8"/>
  <c r="BP8" i="8" s="1"/>
  <c r="U8" i="8"/>
  <c r="T8" i="8"/>
  <c r="BM8" i="8" s="1"/>
  <c r="S8" i="8"/>
  <c r="BL8" i="8" s="1"/>
  <c r="R8" i="8"/>
  <c r="BJ8" i="8" s="1"/>
  <c r="Q8" i="8"/>
  <c r="P8" i="8"/>
  <c r="BG8" i="8" s="1"/>
  <c r="O8" i="8"/>
  <c r="BF8" i="8" s="1"/>
  <c r="N8" i="8"/>
  <c r="BD8" i="8" s="1"/>
  <c r="M8" i="8"/>
  <c r="L8" i="8"/>
  <c r="K8" i="8"/>
  <c r="AZ8" i="8" s="1"/>
  <c r="J8" i="8"/>
  <c r="I8" i="8"/>
  <c r="H8" i="8"/>
  <c r="G8" i="8"/>
  <c r="E8" i="8" s="1"/>
  <c r="D8" i="8"/>
  <c r="C8" i="8"/>
  <c r="B8" i="8"/>
  <c r="AV8" i="8" s="1"/>
  <c r="A8" i="8"/>
  <c r="AU8" i="8" s="1"/>
  <c r="AH7" i="8"/>
  <c r="AG7" i="8"/>
  <c r="AF7" i="8"/>
  <c r="CE7" i="8" s="1"/>
  <c r="AE7" i="8"/>
  <c r="CD7" i="8" s="1"/>
  <c r="AD7" i="8"/>
  <c r="CB7" i="8" s="1"/>
  <c r="AC7" i="8"/>
  <c r="AB7" i="8"/>
  <c r="BY7" i="8" s="1"/>
  <c r="AA7" i="8"/>
  <c r="Z7" i="8"/>
  <c r="BV7" i="8" s="1"/>
  <c r="Y7" i="8"/>
  <c r="X7" i="8"/>
  <c r="W7" i="8"/>
  <c r="V7" i="8"/>
  <c r="BP7" i="8" s="1"/>
  <c r="U7" i="8"/>
  <c r="T7" i="8"/>
  <c r="BM7" i="8" s="1"/>
  <c r="S7" i="8"/>
  <c r="R7" i="8"/>
  <c r="Q7" i="8"/>
  <c r="P7" i="8"/>
  <c r="O7" i="8"/>
  <c r="BF7" i="8" s="1"/>
  <c r="N7" i="8"/>
  <c r="M7" i="8"/>
  <c r="L7" i="8"/>
  <c r="K7" i="8"/>
  <c r="AZ7" i="8" s="1"/>
  <c r="J7" i="8"/>
  <c r="I7" i="8"/>
  <c r="H7" i="8"/>
  <c r="G7" i="8"/>
  <c r="E7" i="8" s="1"/>
  <c r="D7" i="8"/>
  <c r="C7" i="8"/>
  <c r="B7" i="8"/>
  <c r="AV7" i="8" s="1"/>
  <c r="A7" i="8"/>
  <c r="AU7" i="8" s="1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D6" i="8"/>
  <c r="C6" i="8"/>
  <c r="B6" i="8"/>
  <c r="A6" i="8"/>
  <c r="AU6" i="8" s="1"/>
  <c r="AZ4" i="8"/>
  <c r="BC4" i="8" s="1"/>
  <c r="BF4" i="8" s="1"/>
  <c r="BI4" i="8" s="1"/>
  <c r="BL4" i="8" s="1"/>
  <c r="BO4" i="8" s="1"/>
  <c r="BR4" i="8" s="1"/>
  <c r="BU4" i="8" s="1"/>
  <c r="BX4" i="8" s="1"/>
  <c r="CA4" i="8" s="1"/>
  <c r="CD4" i="8" s="1"/>
  <c r="CG4" i="8" s="1"/>
  <c r="CJ4" i="8" s="1"/>
  <c r="CM4" i="8" s="1"/>
  <c r="CP4" i="8" s="1"/>
  <c r="CS4" i="8" s="1"/>
  <c r="CV4" i="8" s="1"/>
  <c r="I4" i="8"/>
  <c r="K4" i="8" s="1"/>
  <c r="M4" i="8" s="1"/>
  <c r="O4" i="8" s="1"/>
  <c r="Q4" i="8" s="1"/>
  <c r="S4" i="8" s="1"/>
  <c r="U4" i="8" s="1"/>
  <c r="W4" i="8" s="1"/>
  <c r="Y4" i="8" s="1"/>
  <c r="AA4" i="8" s="1"/>
  <c r="AC4" i="8" s="1"/>
  <c r="AE4" i="8" s="1"/>
  <c r="AG4" i="8" s="1"/>
  <c r="AI4" i="8" s="1"/>
  <c r="AK4" i="8" s="1"/>
  <c r="AM4" i="8" s="1"/>
  <c r="AO4" i="8" s="1"/>
  <c r="AQ4" i="8" s="1"/>
  <c r="CX63" i="7"/>
  <c r="CF63" i="7"/>
  <c r="CC63" i="7"/>
  <c r="BZ63" i="7"/>
  <c r="BW63" i="7"/>
  <c r="BT63" i="7"/>
  <c r="BQ63" i="7"/>
  <c r="BN63" i="7"/>
  <c r="BK63" i="7"/>
  <c r="BH63" i="7"/>
  <c r="BE63" i="7"/>
  <c r="BB63" i="7"/>
  <c r="AY63" i="7"/>
  <c r="D58" i="7"/>
  <c r="C58" i="7"/>
  <c r="AU57" i="7"/>
  <c r="F57" i="7"/>
  <c r="E57" i="7"/>
  <c r="CD56" i="7"/>
  <c r="AU56" i="7"/>
  <c r="E56" i="7"/>
  <c r="CD55" i="7"/>
  <c r="CA55" i="7"/>
  <c r="AU55" i="7"/>
  <c r="E55" i="7"/>
  <c r="CD54" i="7"/>
  <c r="CA54" i="7"/>
  <c r="BX54" i="7"/>
  <c r="AU54" i="7"/>
  <c r="E54" i="7"/>
  <c r="CE53" i="7"/>
  <c r="CD53" i="7"/>
  <c r="CA53" i="7"/>
  <c r="BX53" i="7"/>
  <c r="BU53" i="7"/>
  <c r="AU53" i="7"/>
  <c r="E53" i="7"/>
  <c r="CD52" i="7"/>
  <c r="CA52" i="7"/>
  <c r="BX52" i="7"/>
  <c r="BU52" i="7"/>
  <c r="BR52" i="7"/>
  <c r="AU52" i="7"/>
  <c r="E52" i="7"/>
  <c r="CD51" i="7"/>
  <c r="CA51" i="7"/>
  <c r="BX51" i="7"/>
  <c r="BU51" i="7"/>
  <c r="BR51" i="7"/>
  <c r="BO51" i="7"/>
  <c r="AU51" i="7"/>
  <c r="E51" i="7"/>
  <c r="CD50" i="7"/>
  <c r="CA50" i="7"/>
  <c r="BX50" i="7"/>
  <c r="BU50" i="7"/>
  <c r="BR50" i="7"/>
  <c r="BO50" i="7"/>
  <c r="BL50" i="7"/>
  <c r="AU50" i="7"/>
  <c r="E50" i="7"/>
  <c r="CD49" i="7"/>
  <c r="CA49" i="7"/>
  <c r="BX49" i="7"/>
  <c r="BU49" i="7"/>
  <c r="BR49" i="7"/>
  <c r="BO49" i="7"/>
  <c r="BL49" i="7"/>
  <c r="BI49" i="7"/>
  <c r="AU49" i="7"/>
  <c r="E49" i="7"/>
  <c r="CD48" i="7"/>
  <c r="CA48" i="7"/>
  <c r="BX48" i="7"/>
  <c r="BU48" i="7"/>
  <c r="BR48" i="7"/>
  <c r="BO48" i="7"/>
  <c r="BL48" i="7"/>
  <c r="BI48" i="7"/>
  <c r="BF48" i="7"/>
  <c r="AU48" i="7"/>
  <c r="E48" i="7"/>
  <c r="CD47" i="7"/>
  <c r="CA47" i="7"/>
  <c r="BX47" i="7"/>
  <c r="BU47" i="7"/>
  <c r="BR47" i="7"/>
  <c r="BO47" i="7"/>
  <c r="BL47" i="7"/>
  <c r="BI47" i="7"/>
  <c r="BF47" i="7"/>
  <c r="BC47" i="7"/>
  <c r="AU47" i="7"/>
  <c r="E47" i="7"/>
  <c r="CD46" i="7"/>
  <c r="CA46" i="7"/>
  <c r="BX46" i="7"/>
  <c r="BU46" i="7"/>
  <c r="BR46" i="7"/>
  <c r="BO46" i="7"/>
  <c r="BL46" i="7"/>
  <c r="BI46" i="7"/>
  <c r="BF46" i="7"/>
  <c r="BC46" i="7"/>
  <c r="AZ46" i="7"/>
  <c r="AU46" i="7"/>
  <c r="E46" i="7"/>
  <c r="CE44" i="7"/>
  <c r="CD44" i="7"/>
  <c r="CB44" i="7"/>
  <c r="CA44" i="7"/>
  <c r="BY44" i="7"/>
  <c r="BX44" i="7"/>
  <c r="BV44" i="7"/>
  <c r="BU44" i="7"/>
  <c r="BS44" i="7"/>
  <c r="BR44" i="7"/>
  <c r="BP44" i="7"/>
  <c r="BO44" i="7"/>
  <c r="BM44" i="7"/>
  <c r="BL44" i="7"/>
  <c r="BJ44" i="7"/>
  <c r="BI44" i="7"/>
  <c r="BG44" i="7"/>
  <c r="BF44" i="7"/>
  <c r="BD44" i="7"/>
  <c r="BC44" i="7"/>
  <c r="BA44" i="7"/>
  <c r="AZ44" i="7"/>
  <c r="AX44" i="7"/>
  <c r="AW44" i="7"/>
  <c r="AU44" i="7"/>
  <c r="F44" i="7"/>
  <c r="E44" i="7"/>
  <c r="B44" i="7"/>
  <c r="B44" i="8" s="1"/>
  <c r="F43" i="7"/>
  <c r="E43" i="7"/>
  <c r="CE40" i="7"/>
  <c r="CD40" i="7"/>
  <c r="CB40" i="7"/>
  <c r="CA40" i="7"/>
  <c r="BY40" i="7"/>
  <c r="BX40" i="7"/>
  <c r="BV40" i="7"/>
  <c r="BU40" i="7"/>
  <c r="BS40" i="7"/>
  <c r="BR40" i="7"/>
  <c r="BP40" i="7"/>
  <c r="BO40" i="7"/>
  <c r="BM40" i="7"/>
  <c r="BL40" i="7"/>
  <c r="BJ40" i="7"/>
  <c r="BI40" i="7"/>
  <c r="BG40" i="7"/>
  <c r="BF40" i="7"/>
  <c r="BD40" i="7"/>
  <c r="BC40" i="7"/>
  <c r="BA40" i="7"/>
  <c r="AZ40" i="7"/>
  <c r="AX40" i="7"/>
  <c r="AW40" i="7"/>
  <c r="AV40" i="7"/>
  <c r="AU40" i="7"/>
  <c r="F40" i="7"/>
  <c r="E40" i="7"/>
  <c r="CE39" i="7"/>
  <c r="CD39" i="7"/>
  <c r="CB39" i="7"/>
  <c r="CA39" i="7"/>
  <c r="BY39" i="7"/>
  <c r="BX39" i="7"/>
  <c r="BV39" i="7"/>
  <c r="BU39" i="7"/>
  <c r="BS39" i="7"/>
  <c r="BR39" i="7"/>
  <c r="BP39" i="7"/>
  <c r="BO39" i="7"/>
  <c r="BM39" i="7"/>
  <c r="BL39" i="7"/>
  <c r="BJ39" i="7"/>
  <c r="BI39" i="7"/>
  <c r="BG39" i="7"/>
  <c r="BF39" i="7"/>
  <c r="BD39" i="7"/>
  <c r="BC39" i="7"/>
  <c r="BA39" i="7"/>
  <c r="AZ39" i="7"/>
  <c r="AX39" i="7"/>
  <c r="AW39" i="7"/>
  <c r="AV39" i="7"/>
  <c r="AU39" i="7"/>
  <c r="F39" i="7"/>
  <c r="E39" i="7"/>
  <c r="CE38" i="7"/>
  <c r="CD38" i="7"/>
  <c r="CB38" i="7"/>
  <c r="CA38" i="7"/>
  <c r="BY38" i="7"/>
  <c r="BX38" i="7"/>
  <c r="BV38" i="7"/>
  <c r="BU38" i="7"/>
  <c r="BS38" i="7"/>
  <c r="BR38" i="7"/>
  <c r="BP38" i="7"/>
  <c r="BO38" i="7"/>
  <c r="BM38" i="7"/>
  <c r="BL38" i="7"/>
  <c r="BJ38" i="7"/>
  <c r="BI38" i="7"/>
  <c r="BG38" i="7"/>
  <c r="BF38" i="7"/>
  <c r="BD38" i="7"/>
  <c r="BA38" i="7"/>
  <c r="AX38" i="7"/>
  <c r="AV38" i="7"/>
  <c r="AU38" i="7"/>
  <c r="F38" i="7"/>
  <c r="CE37" i="7"/>
  <c r="CD37" i="7"/>
  <c r="CB37" i="7"/>
  <c r="CA37" i="7"/>
  <c r="BY37" i="7"/>
  <c r="BX37" i="7"/>
  <c r="BV37" i="7"/>
  <c r="BU37" i="7"/>
  <c r="BS37" i="7"/>
  <c r="BR37" i="7"/>
  <c r="BP37" i="7"/>
  <c r="BO37" i="7"/>
  <c r="BM37" i="7"/>
  <c r="BL37" i="7"/>
  <c r="BJ37" i="7"/>
  <c r="BI37" i="7"/>
  <c r="BG37" i="7"/>
  <c r="BF37" i="7"/>
  <c r="BD37" i="7"/>
  <c r="BC37" i="7"/>
  <c r="BA37" i="7"/>
  <c r="AZ37" i="7"/>
  <c r="AX37" i="7"/>
  <c r="AW37" i="7"/>
  <c r="AU37" i="7"/>
  <c r="F37" i="7"/>
  <c r="E37" i="7"/>
  <c r="CE36" i="7"/>
  <c r="CD36" i="7"/>
  <c r="CB36" i="7"/>
  <c r="CA36" i="7"/>
  <c r="BY36" i="7"/>
  <c r="BX36" i="7"/>
  <c r="BV36" i="7"/>
  <c r="BU36" i="7"/>
  <c r="BS36" i="7"/>
  <c r="BR36" i="7"/>
  <c r="BP36" i="7"/>
  <c r="BO36" i="7"/>
  <c r="BM36" i="7"/>
  <c r="BL36" i="7"/>
  <c r="BJ36" i="7"/>
  <c r="BI36" i="7"/>
  <c r="BG36" i="7"/>
  <c r="BF36" i="7"/>
  <c r="BD36" i="7"/>
  <c r="BC36" i="7"/>
  <c r="BA36" i="7"/>
  <c r="AZ36" i="7"/>
  <c r="AX36" i="7"/>
  <c r="AW36" i="7"/>
  <c r="AV36" i="7"/>
  <c r="AU36" i="7"/>
  <c r="F36" i="7"/>
  <c r="G32" i="7"/>
  <c r="D31" i="7"/>
  <c r="C31" i="7"/>
  <c r="C32" i="7" s="1"/>
  <c r="CA27" i="7"/>
  <c r="BX27" i="7"/>
  <c r="BU27" i="7"/>
  <c r="BR27" i="7"/>
  <c r="BO27" i="7"/>
  <c r="BL27" i="7"/>
  <c r="BI27" i="7"/>
  <c r="BF27" i="7"/>
  <c r="BC27" i="7"/>
  <c r="AU27" i="7"/>
  <c r="CE26" i="7"/>
  <c r="CD26" i="7"/>
  <c r="CB26" i="7"/>
  <c r="CA26" i="7"/>
  <c r="BY26" i="7"/>
  <c r="BX26" i="7"/>
  <c r="BV26" i="7"/>
  <c r="BU26" i="7"/>
  <c r="BS26" i="7"/>
  <c r="BR26" i="7"/>
  <c r="BP26" i="7"/>
  <c r="BO26" i="7"/>
  <c r="BM26" i="7"/>
  <c r="BL26" i="7"/>
  <c r="BJ26" i="7"/>
  <c r="BI26" i="7"/>
  <c r="BG26" i="7"/>
  <c r="BF26" i="7"/>
  <c r="BD26" i="7"/>
  <c r="BC26" i="7"/>
  <c r="BA26" i="7"/>
  <c r="AZ26" i="7"/>
  <c r="AU26" i="7"/>
  <c r="F26" i="7"/>
  <c r="E26" i="7"/>
  <c r="CE25" i="7"/>
  <c r="CD25" i="7"/>
  <c r="CB25" i="7"/>
  <c r="CA25" i="7"/>
  <c r="BY25" i="7"/>
  <c r="BX25" i="7"/>
  <c r="BV25" i="7"/>
  <c r="BU25" i="7"/>
  <c r="BS25" i="7"/>
  <c r="BR25" i="7"/>
  <c r="BP25" i="7"/>
  <c r="BO25" i="7"/>
  <c r="BM25" i="7"/>
  <c r="BL25" i="7"/>
  <c r="BJ25" i="7"/>
  <c r="BI25" i="7"/>
  <c r="BG25" i="7"/>
  <c r="BF25" i="7"/>
  <c r="BD25" i="7"/>
  <c r="BC25" i="7"/>
  <c r="BA25" i="7"/>
  <c r="AZ25" i="7"/>
  <c r="AU25" i="7"/>
  <c r="F25" i="7"/>
  <c r="E25" i="7"/>
  <c r="CE24" i="7"/>
  <c r="CD24" i="7"/>
  <c r="CB24" i="7"/>
  <c r="CA24" i="7"/>
  <c r="BY24" i="7"/>
  <c r="BX24" i="7"/>
  <c r="BV24" i="7"/>
  <c r="BU24" i="7"/>
  <c r="BS24" i="7"/>
  <c r="BR24" i="7"/>
  <c r="BP24" i="7"/>
  <c r="BO24" i="7"/>
  <c r="BM24" i="7"/>
  <c r="BL24" i="7"/>
  <c r="BJ24" i="7"/>
  <c r="BI24" i="7"/>
  <c r="BG24" i="7"/>
  <c r="BF24" i="7"/>
  <c r="BD24" i="7"/>
  <c r="BC24" i="7"/>
  <c r="BA24" i="7"/>
  <c r="AZ24" i="7"/>
  <c r="AX24" i="7"/>
  <c r="AW24" i="7"/>
  <c r="AV24" i="7"/>
  <c r="AU24" i="7"/>
  <c r="F24" i="7"/>
  <c r="E24" i="7"/>
  <c r="CE23" i="7"/>
  <c r="CD23" i="7"/>
  <c r="CB23" i="7"/>
  <c r="CA23" i="7"/>
  <c r="BY23" i="7"/>
  <c r="BX23" i="7"/>
  <c r="BV23" i="7"/>
  <c r="BU23" i="7"/>
  <c r="BS23" i="7"/>
  <c r="BR23" i="7"/>
  <c r="BP23" i="7"/>
  <c r="BO23" i="7"/>
  <c r="BM23" i="7"/>
  <c r="BL23" i="7"/>
  <c r="BJ23" i="7"/>
  <c r="BI23" i="7"/>
  <c r="BG23" i="7"/>
  <c r="BF23" i="7"/>
  <c r="BD23" i="7"/>
  <c r="BC23" i="7"/>
  <c r="BA23" i="7"/>
  <c r="AZ23" i="7"/>
  <c r="AX23" i="7"/>
  <c r="AW23" i="7"/>
  <c r="AV23" i="7"/>
  <c r="AU23" i="7"/>
  <c r="F23" i="7"/>
  <c r="CE22" i="7"/>
  <c r="CD22" i="7"/>
  <c r="CB22" i="7"/>
  <c r="CA22" i="7"/>
  <c r="BY22" i="7"/>
  <c r="BX22" i="7"/>
  <c r="BV22" i="7"/>
  <c r="BU22" i="7"/>
  <c r="BS22" i="7"/>
  <c r="BR22" i="7"/>
  <c r="BP22" i="7"/>
  <c r="BO22" i="7"/>
  <c r="BM22" i="7"/>
  <c r="BL22" i="7"/>
  <c r="BJ22" i="7"/>
  <c r="BI22" i="7"/>
  <c r="BG22" i="7"/>
  <c r="BF22" i="7"/>
  <c r="BD22" i="7"/>
  <c r="BC22" i="7"/>
  <c r="BA22" i="7"/>
  <c r="AZ22" i="7"/>
  <c r="AX22" i="7"/>
  <c r="AW22" i="7"/>
  <c r="AV22" i="7"/>
  <c r="AU22" i="7"/>
  <c r="F22" i="7"/>
  <c r="CE21" i="7"/>
  <c r="CD21" i="7"/>
  <c r="CB21" i="7"/>
  <c r="CA21" i="7"/>
  <c r="BY21" i="7"/>
  <c r="BX21" i="7"/>
  <c r="BV21" i="7"/>
  <c r="BU21" i="7"/>
  <c r="BS21" i="7"/>
  <c r="BR21" i="7"/>
  <c r="BP21" i="7"/>
  <c r="BO21" i="7"/>
  <c r="BM21" i="7"/>
  <c r="BL21" i="7"/>
  <c r="BJ21" i="7"/>
  <c r="BI21" i="7"/>
  <c r="BG21" i="7"/>
  <c r="BF21" i="7"/>
  <c r="BD21" i="7"/>
  <c r="BC21" i="7"/>
  <c r="BA21" i="7"/>
  <c r="AZ21" i="7"/>
  <c r="AX21" i="7"/>
  <c r="AW21" i="7"/>
  <c r="AU21" i="7"/>
  <c r="F21" i="7"/>
  <c r="B21" i="7"/>
  <c r="B21" i="8" s="1"/>
  <c r="AV21" i="8" s="1"/>
  <c r="CE20" i="7"/>
  <c r="CD20" i="7"/>
  <c r="CB20" i="7"/>
  <c r="CA20" i="7"/>
  <c r="BY20" i="7"/>
  <c r="BX20" i="7"/>
  <c r="BV20" i="7"/>
  <c r="BU20" i="7"/>
  <c r="BS20" i="7"/>
  <c r="BR20" i="7"/>
  <c r="BP20" i="7"/>
  <c r="BO20" i="7"/>
  <c r="BM20" i="7"/>
  <c r="BL20" i="7"/>
  <c r="BJ20" i="7"/>
  <c r="BI20" i="7"/>
  <c r="BG20" i="7"/>
  <c r="BF20" i="7"/>
  <c r="BD20" i="7"/>
  <c r="BC20" i="7"/>
  <c r="BA20" i="7"/>
  <c r="AZ20" i="7"/>
  <c r="AX20" i="7"/>
  <c r="AW20" i="7"/>
  <c r="AV20" i="7"/>
  <c r="AU20" i="7"/>
  <c r="F20" i="7"/>
  <c r="CE19" i="7"/>
  <c r="CD19" i="7"/>
  <c r="CB19" i="7"/>
  <c r="CA19" i="7"/>
  <c r="BY19" i="7"/>
  <c r="BX19" i="7"/>
  <c r="BV19" i="7"/>
  <c r="BU19" i="7"/>
  <c r="BS19" i="7"/>
  <c r="BR19" i="7"/>
  <c r="BP19" i="7"/>
  <c r="BO19" i="7"/>
  <c r="BM19" i="7"/>
  <c r="BL19" i="7"/>
  <c r="BJ19" i="7"/>
  <c r="BI19" i="7"/>
  <c r="BG19" i="7"/>
  <c r="BF19" i="7"/>
  <c r="BD19" i="7"/>
  <c r="BC19" i="7"/>
  <c r="BA19" i="7"/>
  <c r="AZ19" i="7"/>
  <c r="AX19" i="7"/>
  <c r="AW19" i="7"/>
  <c r="AV19" i="7"/>
  <c r="AU19" i="7"/>
  <c r="F19" i="7"/>
  <c r="CE18" i="7"/>
  <c r="CD18" i="7"/>
  <c r="CB18" i="7"/>
  <c r="CA18" i="7"/>
  <c r="BY18" i="7"/>
  <c r="BX18" i="7"/>
  <c r="BV18" i="7"/>
  <c r="BU18" i="7"/>
  <c r="BS18" i="7"/>
  <c r="BR18" i="7"/>
  <c r="BP18" i="7"/>
  <c r="BO18" i="7"/>
  <c r="BM18" i="7"/>
  <c r="BL18" i="7"/>
  <c r="BJ18" i="7"/>
  <c r="BI18" i="7"/>
  <c r="BG18" i="7"/>
  <c r="BF18" i="7"/>
  <c r="BD18" i="7"/>
  <c r="BC18" i="7"/>
  <c r="BA18" i="7"/>
  <c r="AZ18" i="7"/>
  <c r="AX18" i="7"/>
  <c r="AW18" i="7"/>
  <c r="AU18" i="7"/>
  <c r="F18" i="7"/>
  <c r="B18" i="7"/>
  <c r="CE17" i="7"/>
  <c r="CD17" i="7"/>
  <c r="CB17" i="7"/>
  <c r="CA17" i="7"/>
  <c r="BY17" i="7"/>
  <c r="BX17" i="7"/>
  <c r="BV17" i="7"/>
  <c r="BU17" i="7"/>
  <c r="BS17" i="7"/>
  <c r="BR17" i="7"/>
  <c r="BP17" i="7"/>
  <c r="BO17" i="7"/>
  <c r="BM17" i="7"/>
  <c r="BL17" i="7"/>
  <c r="BJ17" i="7"/>
  <c r="BI17" i="7"/>
  <c r="BG17" i="7"/>
  <c r="BF17" i="7"/>
  <c r="BD17" i="7"/>
  <c r="BC17" i="7"/>
  <c r="BA17" i="7"/>
  <c r="AZ17" i="7"/>
  <c r="AX17" i="7"/>
  <c r="AW17" i="7"/>
  <c r="AV17" i="7"/>
  <c r="AU17" i="7"/>
  <c r="F17" i="7"/>
  <c r="CE16" i="7"/>
  <c r="CD16" i="7"/>
  <c r="CB16" i="7"/>
  <c r="CA16" i="7"/>
  <c r="BY16" i="7"/>
  <c r="BX16" i="7"/>
  <c r="BV16" i="7"/>
  <c r="BU16" i="7"/>
  <c r="BS16" i="7"/>
  <c r="BR16" i="7"/>
  <c r="BP16" i="7"/>
  <c r="BO16" i="7"/>
  <c r="BM16" i="7"/>
  <c r="BL16" i="7"/>
  <c r="BJ16" i="7"/>
  <c r="BI16" i="7"/>
  <c r="BG16" i="7"/>
  <c r="BF16" i="7"/>
  <c r="BD16" i="7"/>
  <c r="BC16" i="7"/>
  <c r="BA16" i="7"/>
  <c r="AZ16" i="7"/>
  <c r="AX16" i="7"/>
  <c r="AW16" i="7"/>
  <c r="AV16" i="7"/>
  <c r="AU16" i="7"/>
  <c r="F16" i="7"/>
  <c r="CE15" i="7"/>
  <c r="CD15" i="7"/>
  <c r="CB15" i="7"/>
  <c r="CA15" i="7"/>
  <c r="BY15" i="7"/>
  <c r="BX15" i="7"/>
  <c r="BV15" i="7"/>
  <c r="BU15" i="7"/>
  <c r="BS15" i="7"/>
  <c r="BR15" i="7"/>
  <c r="BP15" i="7"/>
  <c r="BO15" i="7"/>
  <c r="BM15" i="7"/>
  <c r="BL15" i="7"/>
  <c r="BJ15" i="7"/>
  <c r="BI15" i="7"/>
  <c r="BG15" i="7"/>
  <c r="BF15" i="7"/>
  <c r="BD15" i="7"/>
  <c r="BC15" i="7"/>
  <c r="BA15" i="7"/>
  <c r="AZ15" i="7"/>
  <c r="AX15" i="7"/>
  <c r="AW15" i="7"/>
  <c r="AV15" i="7"/>
  <c r="AU15" i="7"/>
  <c r="F15" i="7"/>
  <c r="CE14" i="7"/>
  <c r="CD14" i="7"/>
  <c r="CB14" i="7"/>
  <c r="CA14" i="7"/>
  <c r="BY14" i="7"/>
  <c r="BX14" i="7"/>
  <c r="BV14" i="7"/>
  <c r="BU14" i="7"/>
  <c r="BS14" i="7"/>
  <c r="BR14" i="7"/>
  <c r="BP14" i="7"/>
  <c r="BO14" i="7"/>
  <c r="BM14" i="7"/>
  <c r="BL14" i="7"/>
  <c r="BJ14" i="7"/>
  <c r="BI14" i="7"/>
  <c r="BG14" i="7"/>
  <c r="BF14" i="7"/>
  <c r="BD14" i="7"/>
  <c r="BC14" i="7"/>
  <c r="BA14" i="7"/>
  <c r="AZ14" i="7"/>
  <c r="AX14" i="7"/>
  <c r="AW14" i="7"/>
  <c r="AV14" i="7"/>
  <c r="AU14" i="7"/>
  <c r="F14" i="7"/>
  <c r="AG60" i="7"/>
  <c r="AE60" i="7"/>
  <c r="AC60" i="7"/>
  <c r="AA60" i="7"/>
  <c r="Y60" i="7"/>
  <c r="U60" i="7"/>
  <c r="Q60" i="7"/>
  <c r="I60" i="7"/>
  <c r="H60" i="7"/>
  <c r="G60" i="7"/>
  <c r="D11" i="7"/>
  <c r="C11" i="7"/>
  <c r="C60" i="7" s="1"/>
  <c r="AV10" i="7"/>
  <c r="AU10" i="7"/>
  <c r="CE9" i="7"/>
  <c r="CD9" i="7"/>
  <c r="CB9" i="7"/>
  <c r="CA9" i="7"/>
  <c r="BY9" i="7"/>
  <c r="BX9" i="7"/>
  <c r="BV9" i="7"/>
  <c r="BU9" i="7"/>
  <c r="BS9" i="7"/>
  <c r="BR9" i="7"/>
  <c r="BP9" i="7"/>
  <c r="BO9" i="7"/>
  <c r="BM9" i="7"/>
  <c r="BL9" i="7"/>
  <c r="BJ9" i="7"/>
  <c r="BI9" i="7"/>
  <c r="BG9" i="7"/>
  <c r="BF9" i="7"/>
  <c r="BD9" i="7"/>
  <c r="BC9" i="7"/>
  <c r="BA9" i="7"/>
  <c r="AZ9" i="7"/>
  <c r="AX9" i="7"/>
  <c r="AW9" i="7"/>
  <c r="AV9" i="7"/>
  <c r="AU9" i="7"/>
  <c r="F9" i="7"/>
  <c r="E9" i="7"/>
  <c r="CE8" i="7"/>
  <c r="CD8" i="7"/>
  <c r="CB8" i="7"/>
  <c r="CA8" i="7"/>
  <c r="BY8" i="7"/>
  <c r="BX8" i="7"/>
  <c r="BV8" i="7"/>
  <c r="BU8" i="7"/>
  <c r="BS8" i="7"/>
  <c r="BR8" i="7"/>
  <c r="BP8" i="7"/>
  <c r="BO8" i="7"/>
  <c r="BM8" i="7"/>
  <c r="BL8" i="7"/>
  <c r="BJ8" i="7"/>
  <c r="BI8" i="7"/>
  <c r="BG8" i="7"/>
  <c r="BF8" i="7"/>
  <c r="BD8" i="7"/>
  <c r="BC8" i="7"/>
  <c r="BA8" i="7"/>
  <c r="AZ8" i="7"/>
  <c r="AX8" i="7"/>
  <c r="AW8" i="7"/>
  <c r="AV8" i="7"/>
  <c r="AU8" i="7"/>
  <c r="F8" i="7"/>
  <c r="E8" i="7"/>
  <c r="CE7" i="7"/>
  <c r="CD7" i="7"/>
  <c r="CB7" i="7"/>
  <c r="CA7" i="7"/>
  <c r="BY7" i="7"/>
  <c r="BX7" i="7"/>
  <c r="BV7" i="7"/>
  <c r="BU7" i="7"/>
  <c r="BS7" i="7"/>
  <c r="BR7" i="7"/>
  <c r="BP7" i="7"/>
  <c r="BO7" i="7"/>
  <c r="BM7" i="7"/>
  <c r="BL7" i="7"/>
  <c r="BJ7" i="7"/>
  <c r="BI7" i="7"/>
  <c r="BG7" i="7"/>
  <c r="BF7" i="7"/>
  <c r="BD7" i="7"/>
  <c r="BC7" i="7"/>
  <c r="BA7" i="7"/>
  <c r="AZ7" i="7"/>
  <c r="AX7" i="7"/>
  <c r="AW7" i="7"/>
  <c r="AV7" i="7"/>
  <c r="AU7" i="7"/>
  <c r="F7" i="7"/>
  <c r="E7" i="7"/>
  <c r="CE6" i="7"/>
  <c r="CE11" i="7" s="1"/>
  <c r="CD6" i="7"/>
  <c r="CD11" i="7" s="1"/>
  <c r="CB6" i="7"/>
  <c r="CB11" i="7" s="1"/>
  <c r="CA6" i="7"/>
  <c r="CA11" i="7" s="1"/>
  <c r="BY6" i="7"/>
  <c r="BY11" i="7" s="1"/>
  <c r="BX6" i="7"/>
  <c r="BX11" i="7" s="1"/>
  <c r="BV6" i="7"/>
  <c r="BV11" i="7" s="1"/>
  <c r="BU6" i="7"/>
  <c r="BU11" i="7" s="1"/>
  <c r="BS6" i="7"/>
  <c r="BS11" i="7" s="1"/>
  <c r="BR6" i="7"/>
  <c r="BR11" i="7" s="1"/>
  <c r="BP6" i="7"/>
  <c r="BP11" i="7" s="1"/>
  <c r="BO6" i="7"/>
  <c r="BO11" i="7" s="1"/>
  <c r="BM6" i="7"/>
  <c r="BM11" i="7" s="1"/>
  <c r="BL6" i="7"/>
  <c r="BL11" i="7" s="1"/>
  <c r="BJ6" i="7"/>
  <c r="BJ11" i="7" s="1"/>
  <c r="BI6" i="7"/>
  <c r="BI11" i="7" s="1"/>
  <c r="BG6" i="7"/>
  <c r="BG11" i="7" s="1"/>
  <c r="BF6" i="7"/>
  <c r="BF11" i="7" s="1"/>
  <c r="BD6" i="7"/>
  <c r="BD11" i="7" s="1"/>
  <c r="BC6" i="7"/>
  <c r="BC11" i="7" s="1"/>
  <c r="BA6" i="7"/>
  <c r="BA11" i="7" s="1"/>
  <c r="AZ6" i="7"/>
  <c r="AZ11" i="7" s="1"/>
  <c r="AX6" i="7"/>
  <c r="AX11" i="7" s="1"/>
  <c r="AW6" i="7"/>
  <c r="AW11" i="7" s="1"/>
  <c r="AV6" i="7"/>
  <c r="AV11" i="7" s="1"/>
  <c r="AU6" i="7"/>
  <c r="F6" i="7"/>
  <c r="F11" i="7" s="1"/>
  <c r="E6" i="7"/>
  <c r="E11" i="7" s="1"/>
  <c r="AZ4" i="7"/>
  <c r="BC4" i="7" s="1"/>
  <c r="BF4" i="7" s="1"/>
  <c r="BI4" i="7" s="1"/>
  <c r="BL4" i="7" s="1"/>
  <c r="BO4" i="7" s="1"/>
  <c r="BR4" i="7" s="1"/>
  <c r="BU4" i="7" s="1"/>
  <c r="BX4" i="7" s="1"/>
  <c r="CA4" i="7" s="1"/>
  <c r="CD4" i="7" s="1"/>
  <c r="CG4" i="7" s="1"/>
  <c r="CJ4" i="7" s="1"/>
  <c r="CM4" i="7" s="1"/>
  <c r="CP4" i="7" s="1"/>
  <c r="CS4" i="7" s="1"/>
  <c r="CV4" i="7" s="1"/>
  <c r="I4" i="7"/>
  <c r="K4" i="7" s="1"/>
  <c r="M4" i="7" s="1"/>
  <c r="O4" i="7" s="1"/>
  <c r="Q4" i="7" s="1"/>
  <c r="S4" i="7" s="1"/>
  <c r="U4" i="7" s="1"/>
  <c r="W4" i="7" s="1"/>
  <c r="Y4" i="7" s="1"/>
  <c r="AA4" i="7" s="1"/>
  <c r="AC4" i="7" s="1"/>
  <c r="AE4" i="7" s="1"/>
  <c r="AG4" i="7" s="1"/>
  <c r="AI4" i="7" s="1"/>
  <c r="AK4" i="7" s="1"/>
  <c r="AM4" i="7" s="1"/>
  <c r="AO4" i="7" s="1"/>
  <c r="AQ4" i="7" s="1"/>
  <c r="AX31" i="7" l="1"/>
  <c r="AW7" i="8"/>
  <c r="AY7" i="8" s="1"/>
  <c r="BC7" i="8"/>
  <c r="AW8" i="8"/>
  <c r="BC8" i="8"/>
  <c r="BI8" i="8"/>
  <c r="BK8" i="8" s="1"/>
  <c r="BO8" i="8"/>
  <c r="BU8" i="8"/>
  <c r="BW8" i="8" s="1"/>
  <c r="CA8" i="8"/>
  <c r="AW9" i="8"/>
  <c r="AY9" i="8" s="1"/>
  <c r="BC9" i="8"/>
  <c r="BI9" i="8"/>
  <c r="BO9" i="8"/>
  <c r="BU9" i="8"/>
  <c r="BW9" i="8" s="1"/>
  <c r="CA9" i="8"/>
  <c r="BO10" i="8"/>
  <c r="L28" i="2" s="1"/>
  <c r="BU10" i="8"/>
  <c r="N28" i="2" s="1"/>
  <c r="CA10" i="8"/>
  <c r="P28" i="2" s="1"/>
  <c r="AX18" i="8"/>
  <c r="BD18" i="8"/>
  <c r="BJ18" i="8"/>
  <c r="BP18" i="8"/>
  <c r="BQ18" i="8" s="1"/>
  <c r="BV18" i="8"/>
  <c r="CB18" i="8"/>
  <c r="AX19" i="8"/>
  <c r="BD19" i="8"/>
  <c r="BJ19" i="8"/>
  <c r="BP19" i="8"/>
  <c r="BV19" i="8"/>
  <c r="CB19" i="8"/>
  <c r="AX20" i="8"/>
  <c r="BD20" i="8"/>
  <c r="BJ20" i="8"/>
  <c r="BP20" i="8"/>
  <c r="BV20" i="8"/>
  <c r="CB20" i="8"/>
  <c r="AX37" i="8"/>
  <c r="BD37" i="8"/>
  <c r="BJ37" i="8"/>
  <c r="BP37" i="8"/>
  <c r="BV37" i="8"/>
  <c r="CB37" i="8"/>
  <c r="D60" i="7"/>
  <c r="BF31" i="7"/>
  <c r="BF33" i="7" s="1"/>
  <c r="BL31" i="7"/>
  <c r="BR31" i="7"/>
  <c r="BR33" i="7" s="1"/>
  <c r="BX31" i="7"/>
  <c r="CD31" i="7"/>
  <c r="BB37" i="7"/>
  <c r="BH37" i="7"/>
  <c r="BN37" i="7"/>
  <c r="BT37" i="7"/>
  <c r="BZ37" i="7"/>
  <c r="CF37" i="7"/>
  <c r="E57" i="8"/>
  <c r="CD57" i="8"/>
  <c r="E43" i="8"/>
  <c r="CD53" i="8"/>
  <c r="CF53" i="8" s="1"/>
  <c r="F57" i="8"/>
  <c r="CE57" i="8"/>
  <c r="AW31" i="7"/>
  <c r="BC31" i="7"/>
  <c r="BC33" i="7" s="1"/>
  <c r="BI31" i="7"/>
  <c r="BO31" i="7"/>
  <c r="BU31" i="7"/>
  <c r="CA31" i="7"/>
  <c r="CA33" i="7" s="1"/>
  <c r="BE37" i="7"/>
  <c r="BK37" i="7"/>
  <c r="BQ37" i="7"/>
  <c r="BW37" i="7"/>
  <c r="CC37" i="7"/>
  <c r="CE8" i="8"/>
  <c r="CE10" i="8"/>
  <c r="BA15" i="8"/>
  <c r="BB15" i="8" s="1"/>
  <c r="BM15" i="8"/>
  <c r="BS15" i="8"/>
  <c r="BT15" i="8" s="1"/>
  <c r="BY15" i="8"/>
  <c r="BG16" i="8"/>
  <c r="BH16" i="8" s="1"/>
  <c r="BM16" i="8"/>
  <c r="BG17" i="8"/>
  <c r="BM17" i="8"/>
  <c r="BS17" i="8"/>
  <c r="BY17" i="8"/>
  <c r="BC19" i="8"/>
  <c r="H14" i="2" s="1"/>
  <c r="BI19" i="8"/>
  <c r="BO19" i="8"/>
  <c r="L14" i="2" s="1"/>
  <c r="CB23" i="8"/>
  <c r="BF10" i="8"/>
  <c r="I28" i="2" s="1"/>
  <c r="BI10" i="8"/>
  <c r="J28" i="2" s="1"/>
  <c r="V42" i="8"/>
  <c r="T10" i="20" s="1"/>
  <c r="F40" i="8"/>
  <c r="AX40" i="8"/>
  <c r="BA40" i="8"/>
  <c r="BD40" i="8"/>
  <c r="BG40" i="8"/>
  <c r="BJ40" i="8"/>
  <c r="BM40" i="8"/>
  <c r="BU7" i="8"/>
  <c r="BX7" i="8"/>
  <c r="CA7" i="8"/>
  <c r="H31" i="8"/>
  <c r="J31" i="8"/>
  <c r="O36" i="3"/>
  <c r="D121" i="9"/>
  <c r="D117" i="9"/>
  <c r="D113" i="9"/>
  <c r="D120" i="9"/>
  <c r="D116" i="9"/>
  <c r="D123" i="9"/>
  <c r="D115" i="9"/>
  <c r="D122" i="9"/>
  <c r="D114" i="9"/>
  <c r="D119" i="9"/>
  <c r="D118" i="9"/>
  <c r="R36" i="3"/>
  <c r="N36" i="3"/>
  <c r="P36" i="3"/>
  <c r="CQ10" i="8"/>
  <c r="CW10" i="8"/>
  <c r="CT10" i="8"/>
  <c r="AY37" i="7"/>
  <c r="AX58" i="7"/>
  <c r="D61" i="8"/>
  <c r="L42" i="8"/>
  <c r="J10" i="20" s="1"/>
  <c r="CV6" i="8"/>
  <c r="CS6" i="8"/>
  <c r="CP6" i="8"/>
  <c r="CM6" i="8"/>
  <c r="CJ7" i="8"/>
  <c r="CV7" i="8"/>
  <c r="CS7" i="8"/>
  <c r="CP7" i="8"/>
  <c r="CM7" i="8"/>
  <c r="CJ8" i="8"/>
  <c r="CV8" i="8"/>
  <c r="CS8" i="8"/>
  <c r="CP8" i="8"/>
  <c r="CM8" i="8"/>
  <c r="CJ9" i="8"/>
  <c r="CV9" i="8"/>
  <c r="CS9" i="8"/>
  <c r="CP9" i="8"/>
  <c r="CM9" i="8"/>
  <c r="E10" i="8"/>
  <c r="CJ14" i="8"/>
  <c r="T9" i="3"/>
  <c r="CV14" i="8"/>
  <c r="CS14" i="8"/>
  <c r="CP14" i="8"/>
  <c r="CM14" i="8"/>
  <c r="CJ15" i="8"/>
  <c r="T10" i="3"/>
  <c r="CV15" i="8"/>
  <c r="CS15" i="8"/>
  <c r="CP15" i="8"/>
  <c r="CM15" i="8"/>
  <c r="CJ16" i="8"/>
  <c r="T11" i="3"/>
  <c r="CV16" i="8"/>
  <c r="CS16" i="8"/>
  <c r="CP16" i="8"/>
  <c r="CM16" i="8"/>
  <c r="CJ17" i="8"/>
  <c r="T12" i="3"/>
  <c r="CV17" i="8"/>
  <c r="CS17" i="8"/>
  <c r="CP17" i="8"/>
  <c r="CM17" i="8"/>
  <c r="CK18" i="8"/>
  <c r="U13" i="3"/>
  <c r="CW18" i="8"/>
  <c r="CT18" i="8"/>
  <c r="CQ18" i="8"/>
  <c r="CN18" i="8"/>
  <c r="CK19" i="8"/>
  <c r="U14" i="3"/>
  <c r="CW19" i="8"/>
  <c r="CT19" i="8"/>
  <c r="CQ19" i="8"/>
  <c r="CN19" i="8"/>
  <c r="CK20" i="8"/>
  <c r="U15" i="3"/>
  <c r="CW20" i="8"/>
  <c r="CT20" i="8"/>
  <c r="CQ20" i="8"/>
  <c r="CN20" i="8"/>
  <c r="CJ21" i="8"/>
  <c r="T16" i="3"/>
  <c r="CV21" i="8"/>
  <c r="CS21" i="8"/>
  <c r="CP21" i="8"/>
  <c r="CM21" i="8"/>
  <c r="CJ22" i="8"/>
  <c r="T17" i="3"/>
  <c r="CV22" i="8"/>
  <c r="CS22" i="8"/>
  <c r="CP22" i="8"/>
  <c r="CM22" i="8"/>
  <c r="CJ23" i="8"/>
  <c r="T18" i="3"/>
  <c r="CV23" i="8"/>
  <c r="CS23" i="8"/>
  <c r="CP23" i="8"/>
  <c r="CM23" i="8"/>
  <c r="CJ24" i="8"/>
  <c r="T19" i="3"/>
  <c r="CV24" i="8"/>
  <c r="CS24" i="8"/>
  <c r="CP24" i="8"/>
  <c r="CM24" i="8"/>
  <c r="CK36" i="8"/>
  <c r="U28" i="3"/>
  <c r="CW36" i="8"/>
  <c r="CT36" i="8"/>
  <c r="CQ36" i="8"/>
  <c r="CN36" i="8"/>
  <c r="CK37" i="8"/>
  <c r="U29" i="3"/>
  <c r="CW37" i="8"/>
  <c r="CT37" i="8"/>
  <c r="CQ37" i="8"/>
  <c r="CN37" i="8"/>
  <c r="CK38" i="8"/>
  <c r="U30" i="3"/>
  <c r="CW38" i="8"/>
  <c r="CT38" i="8"/>
  <c r="CQ38" i="8"/>
  <c r="CN38" i="8"/>
  <c r="CK39" i="8"/>
  <c r="U31" i="3"/>
  <c r="CW39" i="8"/>
  <c r="CT39" i="8"/>
  <c r="CQ39" i="8"/>
  <c r="CN39" i="8"/>
  <c r="CK40" i="8"/>
  <c r="U32" i="3"/>
  <c r="CW40" i="8"/>
  <c r="CT40" i="8"/>
  <c r="CQ40" i="8"/>
  <c r="CN40" i="8"/>
  <c r="CK44" i="8"/>
  <c r="U34" i="3"/>
  <c r="CW44" i="8"/>
  <c r="CT44" i="8"/>
  <c r="CQ44" i="8"/>
  <c r="CN44" i="8"/>
  <c r="CJ48" i="8"/>
  <c r="CV48" i="8"/>
  <c r="CS48" i="8"/>
  <c r="CP48" i="8"/>
  <c r="CM48" i="8"/>
  <c r="CK49" i="8"/>
  <c r="CW49" i="8"/>
  <c r="CT49" i="8"/>
  <c r="CQ49" i="8"/>
  <c r="CN49" i="8"/>
  <c r="CK50" i="8"/>
  <c r="CW50" i="8"/>
  <c r="CT50" i="8"/>
  <c r="CQ50" i="8"/>
  <c r="CN50" i="8"/>
  <c r="CJ51" i="8"/>
  <c r="CV51" i="8"/>
  <c r="CS51" i="8"/>
  <c r="CP51" i="8"/>
  <c r="CM51" i="8"/>
  <c r="CJ52" i="8"/>
  <c r="CV52" i="8"/>
  <c r="CS52" i="8"/>
  <c r="CP52" i="8"/>
  <c r="CM52" i="8"/>
  <c r="CJ53" i="8"/>
  <c r="CV53" i="8"/>
  <c r="CS53" i="8"/>
  <c r="CP53" i="8"/>
  <c r="CM53" i="8"/>
  <c r="CJ54" i="8"/>
  <c r="CV54" i="8"/>
  <c r="CS54" i="8"/>
  <c r="CP54" i="8"/>
  <c r="CM54" i="8"/>
  <c r="CK55" i="8"/>
  <c r="CW55" i="8"/>
  <c r="CT55" i="8"/>
  <c r="CQ55" i="8"/>
  <c r="CN55" i="8"/>
  <c r="CK56" i="8"/>
  <c r="CW56" i="8"/>
  <c r="CT56" i="8"/>
  <c r="CQ56" i="8"/>
  <c r="CN56" i="8"/>
  <c r="CK57" i="8"/>
  <c r="CW57" i="8"/>
  <c r="CT57" i="8"/>
  <c r="CQ57" i="8"/>
  <c r="CN57" i="8"/>
  <c r="CW6" i="8"/>
  <c r="CT6" i="8"/>
  <c r="CQ6" i="8"/>
  <c r="CN6" i="8"/>
  <c r="CK7" i="8"/>
  <c r="CW7" i="8"/>
  <c r="CT7" i="8"/>
  <c r="CQ7" i="8"/>
  <c r="CN7" i="8"/>
  <c r="CK8" i="8"/>
  <c r="CW8" i="8"/>
  <c r="CT8" i="8"/>
  <c r="CQ8" i="8"/>
  <c r="CN8" i="8"/>
  <c r="CK9" i="8"/>
  <c r="CW9" i="8"/>
  <c r="CT9" i="8"/>
  <c r="CQ9" i="8"/>
  <c r="CN9" i="8"/>
  <c r="CK14" i="8"/>
  <c r="CL14" i="8" s="1"/>
  <c r="U9" i="3"/>
  <c r="CW14" i="8"/>
  <c r="CT14" i="8"/>
  <c r="CQ14" i="8"/>
  <c r="CN14" i="8"/>
  <c r="CK15" i="8"/>
  <c r="U10" i="3"/>
  <c r="CW15" i="8"/>
  <c r="CT15" i="8"/>
  <c r="CQ15" i="8"/>
  <c r="CN15" i="8"/>
  <c r="CK16" i="8"/>
  <c r="U11" i="3"/>
  <c r="CW16" i="8"/>
  <c r="CT16" i="8"/>
  <c r="CQ16" i="8"/>
  <c r="CN16" i="8"/>
  <c r="CK17" i="8"/>
  <c r="U12" i="3"/>
  <c r="CW17" i="8"/>
  <c r="CT17" i="8"/>
  <c r="CQ17" i="8"/>
  <c r="CN17" i="8"/>
  <c r="CJ18" i="8"/>
  <c r="T13" i="3"/>
  <c r="CV18" i="8"/>
  <c r="CX18" i="8" s="1"/>
  <c r="CS18" i="8"/>
  <c r="CP18" i="8"/>
  <c r="CR18" i="8" s="1"/>
  <c r="CM18" i="8"/>
  <c r="CJ19" i="8"/>
  <c r="CL19" i="8" s="1"/>
  <c r="T14" i="3"/>
  <c r="CV19" i="8"/>
  <c r="CX19" i="8" s="1"/>
  <c r="CS19" i="8"/>
  <c r="CP19" i="8"/>
  <c r="CR19" i="8" s="1"/>
  <c r="CM19" i="8"/>
  <c r="CJ20" i="8"/>
  <c r="CL20" i="8" s="1"/>
  <c r="T15" i="3"/>
  <c r="CV20" i="8"/>
  <c r="CX20" i="8" s="1"/>
  <c r="CS20" i="8"/>
  <c r="CP20" i="8"/>
  <c r="CR20" i="8" s="1"/>
  <c r="CM20" i="8"/>
  <c r="CK21" i="8"/>
  <c r="CL21" i="8" s="1"/>
  <c r="U16" i="3"/>
  <c r="CW21" i="8"/>
  <c r="CT21" i="8"/>
  <c r="CQ21" i="8"/>
  <c r="CN21" i="8"/>
  <c r="CK22" i="8"/>
  <c r="U17" i="3"/>
  <c r="CW22" i="8"/>
  <c r="CT22" i="8"/>
  <c r="CQ22" i="8"/>
  <c r="CN22" i="8"/>
  <c r="CK23" i="8"/>
  <c r="U18" i="3"/>
  <c r="CW23" i="8"/>
  <c r="CT23" i="8"/>
  <c r="CQ23" i="8"/>
  <c r="CN23" i="8"/>
  <c r="CK24" i="8"/>
  <c r="U19" i="3"/>
  <c r="CW24" i="8"/>
  <c r="CT24" i="8"/>
  <c r="CQ24" i="8"/>
  <c r="CN24" i="8"/>
  <c r="CJ36" i="8"/>
  <c r="CL36" i="8" s="1"/>
  <c r="T28" i="3"/>
  <c r="CV36" i="8"/>
  <c r="CS36" i="8"/>
  <c r="CP36" i="8"/>
  <c r="CM36" i="8"/>
  <c r="CJ37" i="8"/>
  <c r="CL37" i="8" s="1"/>
  <c r="T29" i="3"/>
  <c r="CV37" i="8"/>
  <c r="CS37" i="8"/>
  <c r="CP37" i="8"/>
  <c r="CR37" i="8" s="1"/>
  <c r="CM37" i="8"/>
  <c r="CJ38" i="8"/>
  <c r="CL38" i="8" s="1"/>
  <c r="T30" i="3"/>
  <c r="CV38" i="8"/>
  <c r="CX38" i="8" s="1"/>
  <c r="CS38" i="8"/>
  <c r="CP38" i="8"/>
  <c r="CR38" i="8" s="1"/>
  <c r="CM38" i="8"/>
  <c r="CJ39" i="8"/>
  <c r="CL39" i="8" s="1"/>
  <c r="T31" i="3"/>
  <c r="CV39" i="8"/>
  <c r="CX39" i="8" s="1"/>
  <c r="CS39" i="8"/>
  <c r="CP39" i="8"/>
  <c r="CR39" i="8" s="1"/>
  <c r="CM39" i="8"/>
  <c r="CJ40" i="8"/>
  <c r="CL40" i="8" s="1"/>
  <c r="T32" i="3"/>
  <c r="CV40" i="8"/>
  <c r="CX40" i="8" s="1"/>
  <c r="CS40" i="8"/>
  <c r="CP40" i="8"/>
  <c r="CR40" i="8" s="1"/>
  <c r="CM40" i="8"/>
  <c r="CJ44" i="8"/>
  <c r="CL44" i="8" s="1"/>
  <c r="T34" i="3"/>
  <c r="CV44" i="8"/>
  <c r="CX44" i="8" s="1"/>
  <c r="CS44" i="8"/>
  <c r="CP44" i="8"/>
  <c r="CR44" i="8" s="1"/>
  <c r="CM44" i="8"/>
  <c r="CJ46" i="8"/>
  <c r="S38" i="2" s="1"/>
  <c r="CV46" i="8"/>
  <c r="CS46" i="8"/>
  <c r="CP46" i="8"/>
  <c r="U38" i="2" s="1"/>
  <c r="CM46" i="8"/>
  <c r="T38" i="2" s="1"/>
  <c r="CJ47" i="8"/>
  <c r="CV47" i="8"/>
  <c r="CS47" i="8"/>
  <c r="CP47" i="8"/>
  <c r="CM47" i="8"/>
  <c r="CK48" i="8"/>
  <c r="CL48" i="8" s="1"/>
  <c r="CW48" i="8"/>
  <c r="CT48" i="8"/>
  <c r="CQ48" i="8"/>
  <c r="CN48" i="8"/>
  <c r="CJ49" i="8"/>
  <c r="CV49" i="8"/>
  <c r="CX49" i="8" s="1"/>
  <c r="CS49" i="8"/>
  <c r="CP49" i="8"/>
  <c r="CR49" i="8" s="1"/>
  <c r="CM49" i="8"/>
  <c r="CJ50" i="8"/>
  <c r="CL50" i="8" s="1"/>
  <c r="CV50" i="8"/>
  <c r="CS50" i="8"/>
  <c r="CU50" i="8" s="1"/>
  <c r="CP50" i="8"/>
  <c r="CM50" i="8"/>
  <c r="CO50" i="8" s="1"/>
  <c r="CK51" i="8"/>
  <c r="CW51" i="8"/>
  <c r="CT51" i="8"/>
  <c r="CQ51" i="8"/>
  <c r="CN51" i="8"/>
  <c r="CK52" i="8"/>
  <c r="CL52" i="8" s="1"/>
  <c r="CW52" i="8"/>
  <c r="CT52" i="8"/>
  <c r="CQ52" i="8"/>
  <c r="CN52" i="8"/>
  <c r="CK53" i="8"/>
  <c r="CW53" i="8"/>
  <c r="CT53" i="8"/>
  <c r="CQ53" i="8"/>
  <c r="CN53" i="8"/>
  <c r="CK54" i="8"/>
  <c r="CL54" i="8" s="1"/>
  <c r="CW54" i="8"/>
  <c r="CT54" i="8"/>
  <c r="CQ54" i="8"/>
  <c r="CN54" i="8"/>
  <c r="CJ55" i="8"/>
  <c r="CV55" i="8"/>
  <c r="CX55" i="8" s="1"/>
  <c r="CS55" i="8"/>
  <c r="CP55" i="8"/>
  <c r="CR55" i="8" s="1"/>
  <c r="CM55" i="8"/>
  <c r="CJ56" i="8"/>
  <c r="CL56" i="8" s="1"/>
  <c r="CV56" i="8"/>
  <c r="CS56" i="8"/>
  <c r="CU56" i="8" s="1"/>
  <c r="CP56" i="8"/>
  <c r="CM56" i="8"/>
  <c r="CO56" i="8" s="1"/>
  <c r="CJ57" i="8"/>
  <c r="CV57" i="8"/>
  <c r="CX57" i="8" s="1"/>
  <c r="CS57" i="8"/>
  <c r="CP57" i="8"/>
  <c r="CR57" i="8" s="1"/>
  <c r="CM57" i="8"/>
  <c r="CK10" i="8"/>
  <c r="CN10" i="8"/>
  <c r="CL9" i="8"/>
  <c r="CJ6" i="8"/>
  <c r="CK6" i="8"/>
  <c r="BB25" i="7"/>
  <c r="BE25" i="7"/>
  <c r="BH25" i="7"/>
  <c r="BK25" i="7"/>
  <c r="BN25" i="7"/>
  <c r="BQ25" i="7"/>
  <c r="BT25" i="7"/>
  <c r="BW25" i="7"/>
  <c r="BZ25" i="7"/>
  <c r="CC25" i="7"/>
  <c r="CF25" i="7"/>
  <c r="CI28" i="7"/>
  <c r="AF29" i="8"/>
  <c r="BD10" i="8"/>
  <c r="BG10" i="8"/>
  <c r="BH10" i="8" s="1"/>
  <c r="BJ10" i="8"/>
  <c r="BM10" i="8"/>
  <c r="BN10" i="8" s="1"/>
  <c r="BM14" i="8"/>
  <c r="BY14" i="8"/>
  <c r="F9" i="3"/>
  <c r="G31" i="8"/>
  <c r="R9" i="3"/>
  <c r="AE31" i="8"/>
  <c r="AC9" i="20" s="1"/>
  <c r="AG31" i="8"/>
  <c r="I31" i="8"/>
  <c r="G9" i="20" s="1"/>
  <c r="K31" i="8"/>
  <c r="M31" i="8"/>
  <c r="K9" i="20" s="1"/>
  <c r="O31" i="8"/>
  <c r="Q31" i="8"/>
  <c r="O9" i="20" s="1"/>
  <c r="S31" i="8"/>
  <c r="U31" i="8"/>
  <c r="S9" i="20" s="1"/>
  <c r="W31" i="8"/>
  <c r="Y31" i="8"/>
  <c r="W9" i="20" s="1"/>
  <c r="AA31" i="8"/>
  <c r="AC31" i="8"/>
  <c r="AA9" i="20" s="1"/>
  <c r="CD48" i="8"/>
  <c r="CA50" i="8"/>
  <c r="CD51" i="8"/>
  <c r="CD54" i="8"/>
  <c r="M38" i="8"/>
  <c r="M42" i="8" s="1"/>
  <c r="M42" i="7"/>
  <c r="M58" i="7" s="1"/>
  <c r="F31" i="7"/>
  <c r="B18" i="8"/>
  <c r="AV18" i="8" s="1"/>
  <c r="B31" i="7"/>
  <c r="K38" i="8"/>
  <c r="H30" i="3" s="1"/>
  <c r="K42" i="7"/>
  <c r="K58" i="7" s="1"/>
  <c r="AY7" i="7"/>
  <c r="BB7" i="7"/>
  <c r="BE7" i="7"/>
  <c r="BH7" i="7"/>
  <c r="BK7" i="7"/>
  <c r="BN7" i="7"/>
  <c r="BQ7" i="7"/>
  <c r="BT7" i="7"/>
  <c r="BW7" i="7"/>
  <c r="BZ7" i="7"/>
  <c r="CC7" i="7"/>
  <c r="CF7" i="7"/>
  <c r="AY8" i="7"/>
  <c r="BB8" i="7"/>
  <c r="BE8" i="7"/>
  <c r="BH8" i="7"/>
  <c r="BK8" i="7"/>
  <c r="BN8" i="7"/>
  <c r="BQ8" i="7"/>
  <c r="BT8" i="7"/>
  <c r="BW8" i="7"/>
  <c r="BZ8" i="7"/>
  <c r="CC8" i="7"/>
  <c r="CF8" i="7"/>
  <c r="AY9" i="7"/>
  <c r="BB9" i="7"/>
  <c r="BE9" i="7"/>
  <c r="BH9" i="7"/>
  <c r="BK9" i="7"/>
  <c r="BN9" i="7"/>
  <c r="BQ9" i="7"/>
  <c r="BT9" i="7"/>
  <c r="BW9" i="7"/>
  <c r="BZ9" i="7"/>
  <c r="CC9" i="7"/>
  <c r="CF9" i="7"/>
  <c r="AY10" i="7"/>
  <c r="BB10" i="7"/>
  <c r="BE10" i="7"/>
  <c r="BH10" i="7"/>
  <c r="BK10" i="7"/>
  <c r="BN10" i="7"/>
  <c r="BQ10" i="7"/>
  <c r="BT10" i="7"/>
  <c r="BW10" i="7"/>
  <c r="BZ10" i="7"/>
  <c r="CC10" i="7"/>
  <c r="CF10" i="7"/>
  <c r="AY15" i="7"/>
  <c r="BB15" i="7"/>
  <c r="BE15" i="7"/>
  <c r="AY16" i="7"/>
  <c r="BB16" i="7"/>
  <c r="BE16" i="7"/>
  <c r="AY17" i="7"/>
  <c r="BB17" i="7"/>
  <c r="BE17" i="7"/>
  <c r="AY18" i="7"/>
  <c r="BB18" i="7"/>
  <c r="BE18" i="7"/>
  <c r="AY19" i="7"/>
  <c r="BB19" i="7"/>
  <c r="BE19" i="7"/>
  <c r="AY20" i="7"/>
  <c r="BB20" i="7"/>
  <c r="BE20" i="7"/>
  <c r="AY21" i="7"/>
  <c r="BB21" i="7"/>
  <c r="BE21" i="7"/>
  <c r="AY22" i="7"/>
  <c r="BB22" i="7"/>
  <c r="BE22" i="7"/>
  <c r="AY23" i="7"/>
  <c r="BB23" i="7"/>
  <c r="BE23" i="7"/>
  <c r="AY24" i="7"/>
  <c r="BB24" i="7"/>
  <c r="BE24" i="7"/>
  <c r="BB26" i="7"/>
  <c r="BE26" i="7"/>
  <c r="BV28" i="7"/>
  <c r="BW28" i="7" s="1"/>
  <c r="E31" i="7"/>
  <c r="AH29" i="7"/>
  <c r="BP29" i="7" s="1"/>
  <c r="BQ29" i="7" s="1"/>
  <c r="BH15" i="7"/>
  <c r="BK15" i="7"/>
  <c r="BN15" i="7"/>
  <c r="BQ15" i="7"/>
  <c r="BT15" i="7"/>
  <c r="BW15" i="7"/>
  <c r="BZ15" i="7"/>
  <c r="CC15" i="7"/>
  <c r="CF15" i="7"/>
  <c r="BH16" i="7"/>
  <c r="BK16" i="7"/>
  <c r="BN16" i="7"/>
  <c r="BQ16" i="7"/>
  <c r="BT16" i="7"/>
  <c r="BW16" i="7"/>
  <c r="BZ16" i="7"/>
  <c r="CC16" i="7"/>
  <c r="CF16" i="7"/>
  <c r="BH17" i="7"/>
  <c r="BK17" i="7"/>
  <c r="BN17" i="7"/>
  <c r="BQ17" i="7"/>
  <c r="BT17" i="7"/>
  <c r="BW17" i="7"/>
  <c r="BZ17" i="7"/>
  <c r="CC17" i="7"/>
  <c r="CF17" i="7"/>
  <c r="BH18" i="7"/>
  <c r="BK18" i="7"/>
  <c r="BN18" i="7"/>
  <c r="BQ18" i="7"/>
  <c r="BT18" i="7"/>
  <c r="BW18" i="7"/>
  <c r="BZ18" i="7"/>
  <c r="CC18" i="7"/>
  <c r="CF18" i="7"/>
  <c r="BH19" i="7"/>
  <c r="BK19" i="7"/>
  <c r="BN19" i="7"/>
  <c r="BQ19" i="7"/>
  <c r="BT19" i="7"/>
  <c r="BW19" i="7"/>
  <c r="BZ19" i="7"/>
  <c r="CC19" i="7"/>
  <c r="CF19" i="7"/>
  <c r="BH20" i="7"/>
  <c r="BK20" i="7"/>
  <c r="BN20" i="7"/>
  <c r="BQ20" i="7"/>
  <c r="BT20" i="7"/>
  <c r="BW20" i="7"/>
  <c r="BZ20" i="7"/>
  <c r="CC20" i="7"/>
  <c r="CF20" i="7"/>
  <c r="BH21" i="7"/>
  <c r="BK21" i="7"/>
  <c r="BN21" i="7"/>
  <c r="BQ21" i="7"/>
  <c r="BT21" i="7"/>
  <c r="BW21" i="7"/>
  <c r="BZ21" i="7"/>
  <c r="CC21" i="7"/>
  <c r="CF21" i="7"/>
  <c r="BH22" i="7"/>
  <c r="BK22" i="7"/>
  <c r="BN22" i="7"/>
  <c r="BQ22" i="7"/>
  <c r="BT22" i="7"/>
  <c r="BW22" i="7"/>
  <c r="BZ22" i="7"/>
  <c r="CC22" i="7"/>
  <c r="CF22" i="7"/>
  <c r="BH23" i="7"/>
  <c r="BK23" i="7"/>
  <c r="BN23" i="7"/>
  <c r="BQ23" i="7"/>
  <c r="BT23" i="7"/>
  <c r="BW23" i="7"/>
  <c r="BZ23" i="7"/>
  <c r="CC23" i="7"/>
  <c r="CF23" i="7"/>
  <c r="BH24" i="7"/>
  <c r="BK24" i="7"/>
  <c r="BN24" i="7"/>
  <c r="BQ24" i="7"/>
  <c r="BT24" i="7"/>
  <c r="BW24" i="7"/>
  <c r="BZ24" i="7"/>
  <c r="CC24" i="7"/>
  <c r="CF24" i="7"/>
  <c r="BH26" i="7"/>
  <c r="BK26" i="7"/>
  <c r="BN26" i="7"/>
  <c r="BQ26" i="7"/>
  <c r="BT26" i="7"/>
  <c r="BW26" i="7"/>
  <c r="BZ26" i="7"/>
  <c r="CC26" i="7"/>
  <c r="CF26" i="7"/>
  <c r="CG7" i="8"/>
  <c r="CI7" i="8" s="1"/>
  <c r="CG8" i="8"/>
  <c r="CG9" i="8"/>
  <c r="CI9" i="8" s="1"/>
  <c r="CG15" i="8"/>
  <c r="CG16" i="8"/>
  <c r="CG17" i="8"/>
  <c r="CH18" i="8"/>
  <c r="U13" i="2" s="1"/>
  <c r="CH19" i="8"/>
  <c r="U14" i="2" s="1"/>
  <c r="CH20" i="8"/>
  <c r="U15" i="2" s="1"/>
  <c r="CG21" i="8"/>
  <c r="CG22" i="8"/>
  <c r="CG23" i="8"/>
  <c r="CG24" i="8"/>
  <c r="AG42" i="8"/>
  <c r="CG37" i="8"/>
  <c r="CG38" i="8"/>
  <c r="CG39" i="8"/>
  <c r="CG40" i="8"/>
  <c r="CG44" i="8"/>
  <c r="S36" i="3"/>
  <c r="CG47" i="8"/>
  <c r="CH48" i="8"/>
  <c r="CG49" i="8"/>
  <c r="CG50" i="8"/>
  <c r="CH51" i="8"/>
  <c r="CH52" i="8"/>
  <c r="CH53" i="8"/>
  <c r="CH54" i="8"/>
  <c r="CG55" i="8"/>
  <c r="CG56" i="8"/>
  <c r="CG57" i="8"/>
  <c r="CH7" i="8"/>
  <c r="CH8" i="8"/>
  <c r="CI8" i="8" s="1"/>
  <c r="CH9" i="8"/>
  <c r="CH10" i="8"/>
  <c r="CI10" i="8" s="1"/>
  <c r="CH15" i="8"/>
  <c r="U10" i="2" s="1"/>
  <c r="CH16" i="8"/>
  <c r="U11" i="2" s="1"/>
  <c r="CH17" i="8"/>
  <c r="U12" i="2" s="1"/>
  <c r="CG18" i="8"/>
  <c r="CI18" i="8" s="1"/>
  <c r="CG19" i="8"/>
  <c r="CG20" i="8"/>
  <c r="CI20" i="8" s="1"/>
  <c r="CH21" i="8"/>
  <c r="U16" i="2" s="1"/>
  <c r="CH22" i="8"/>
  <c r="U17" i="2" s="1"/>
  <c r="CH23" i="8"/>
  <c r="U18" i="2" s="1"/>
  <c r="CH24" i="8"/>
  <c r="U19" i="2" s="1"/>
  <c r="AH42" i="8"/>
  <c r="CH37" i="8"/>
  <c r="U32" i="2" s="1"/>
  <c r="CH38" i="8"/>
  <c r="U33" i="2" s="1"/>
  <c r="CH39" i="8"/>
  <c r="U34" i="2" s="1"/>
  <c r="CH40" i="8"/>
  <c r="U35" i="2" s="1"/>
  <c r="CH44" i="8"/>
  <c r="CG48" i="8"/>
  <c r="CH49" i="8"/>
  <c r="CH50" i="8"/>
  <c r="CG51" i="8"/>
  <c r="CI51" i="8" s="1"/>
  <c r="CG52" i="8"/>
  <c r="CI52" i="8" s="1"/>
  <c r="CG53" i="8"/>
  <c r="CG54" i="8"/>
  <c r="CH55" i="8"/>
  <c r="CH56" i="8"/>
  <c r="CH57" i="8"/>
  <c r="BA7" i="8"/>
  <c r="BB7" i="8" s="1"/>
  <c r="BD7" i="8"/>
  <c r="BE7" i="8" s="1"/>
  <c r="BG7" i="8"/>
  <c r="BJ7" i="8"/>
  <c r="E55" i="8"/>
  <c r="CE18" i="8"/>
  <c r="S13" i="3"/>
  <c r="CE19" i="8"/>
  <c r="S14" i="3"/>
  <c r="CE20" i="8"/>
  <c r="CF20" i="8" s="1"/>
  <c r="S15" i="2" s="1"/>
  <c r="S15" i="3"/>
  <c r="CE14" i="8"/>
  <c r="S9" i="3"/>
  <c r="CE15" i="8"/>
  <c r="S10" i="3"/>
  <c r="CE16" i="8"/>
  <c r="S11" i="3"/>
  <c r="CE17" i="8"/>
  <c r="S12" i="3"/>
  <c r="CE21" i="8"/>
  <c r="S16" i="3"/>
  <c r="CE22" i="8"/>
  <c r="S17" i="3"/>
  <c r="CE23" i="8"/>
  <c r="S18" i="3"/>
  <c r="CE24" i="8"/>
  <c r="S19" i="3"/>
  <c r="AF42" i="8"/>
  <c r="AD10" i="20" s="1"/>
  <c r="S28" i="3"/>
  <c r="CE37" i="8"/>
  <c r="S29" i="3"/>
  <c r="CE38" i="8"/>
  <c r="S30" i="3"/>
  <c r="CE39" i="8"/>
  <c r="S31" i="3"/>
  <c r="CE40" i="8"/>
  <c r="S32" i="3"/>
  <c r="F7" i="8"/>
  <c r="AX7" i="8"/>
  <c r="CD52" i="8"/>
  <c r="BP10" i="8"/>
  <c r="BS10" i="8"/>
  <c r="BT10" i="8" s="1"/>
  <c r="BV10" i="8"/>
  <c r="BY10" i="8"/>
  <c r="CB10" i="8"/>
  <c r="F9" i="8"/>
  <c r="AX9" i="8"/>
  <c r="BA9" i="8"/>
  <c r="BB9" i="8" s="1"/>
  <c r="CD18" i="8"/>
  <c r="Q13" i="2" s="1"/>
  <c r="R13" i="3"/>
  <c r="CD19" i="8"/>
  <c r="Q14" i="2" s="1"/>
  <c r="R14" i="3"/>
  <c r="CD20" i="8"/>
  <c r="Q15" i="2" s="1"/>
  <c r="R15" i="3"/>
  <c r="AE59" i="8"/>
  <c r="AC16" i="20" s="1"/>
  <c r="AC12" i="20" s="1"/>
  <c r="AC17" i="20" s="1"/>
  <c r="BS7" i="8"/>
  <c r="F8" i="8"/>
  <c r="AX8" i="8"/>
  <c r="AY8" i="8" s="1"/>
  <c r="BA8" i="8"/>
  <c r="F38" i="8"/>
  <c r="AX38" i="8"/>
  <c r="K59" i="8"/>
  <c r="I16" i="20" s="1"/>
  <c r="I12" i="20" s="1"/>
  <c r="I17" i="20" s="1"/>
  <c r="O59" i="8"/>
  <c r="M16" i="20" s="1"/>
  <c r="M12" i="20" s="1"/>
  <c r="M17" i="20" s="1"/>
  <c r="S59" i="8"/>
  <c r="Q16" i="20" s="1"/>
  <c r="Q12" i="20" s="1"/>
  <c r="Q17" i="20" s="1"/>
  <c r="W59" i="8"/>
  <c r="U16" i="20" s="1"/>
  <c r="U12" i="20" s="1"/>
  <c r="U17" i="20" s="1"/>
  <c r="CD49" i="8"/>
  <c r="CD50" i="8"/>
  <c r="CD55" i="8"/>
  <c r="E56" i="8"/>
  <c r="CD56" i="8"/>
  <c r="BG28" i="7"/>
  <c r="BH28" i="7" s="1"/>
  <c r="BS28" i="7"/>
  <c r="BT28" i="7" s="1"/>
  <c r="BY28" i="7"/>
  <c r="BZ28" i="7" s="1"/>
  <c r="BS29" i="7"/>
  <c r="BT29" i="7" s="1"/>
  <c r="CD15" i="8"/>
  <c r="Q10" i="2" s="1"/>
  <c r="R10" i="3"/>
  <c r="CD16" i="8"/>
  <c r="Q11" i="2" s="1"/>
  <c r="R11" i="3"/>
  <c r="CD17" i="8"/>
  <c r="Q12" i="2" s="1"/>
  <c r="R12" i="3"/>
  <c r="CD21" i="8"/>
  <c r="Q16" i="2" s="1"/>
  <c r="R16" i="3"/>
  <c r="CD22" i="8"/>
  <c r="Q17" i="2" s="1"/>
  <c r="R17" i="3"/>
  <c r="CD23" i="8"/>
  <c r="Q18" i="2" s="1"/>
  <c r="R18" i="3"/>
  <c r="CD24" i="8"/>
  <c r="Q19" i="2" s="1"/>
  <c r="R19" i="3"/>
  <c r="AE42" i="8"/>
  <c r="R28" i="3"/>
  <c r="CD37" i="8"/>
  <c r="Q32" i="2" s="1"/>
  <c r="R29" i="3"/>
  <c r="CD38" i="8"/>
  <c r="Q33" i="2" s="1"/>
  <c r="R30" i="3"/>
  <c r="CD39" i="8"/>
  <c r="Q34" i="2" s="1"/>
  <c r="R31" i="3"/>
  <c r="CD40" i="8"/>
  <c r="Q35" i="2" s="1"/>
  <c r="R32" i="3"/>
  <c r="AH28" i="8"/>
  <c r="BP28" i="7"/>
  <c r="BQ28" i="7" s="1"/>
  <c r="BJ28" i="7"/>
  <c r="BK28" i="7" s="1"/>
  <c r="CB28" i="7"/>
  <c r="CC28" i="7" s="1"/>
  <c r="BM28" i="7"/>
  <c r="BN28" i="7" s="1"/>
  <c r="BD28" i="7"/>
  <c r="BE28" i="7" s="1"/>
  <c r="CE28" i="7"/>
  <c r="AA59" i="8"/>
  <c r="Y16" i="20" s="1"/>
  <c r="Y12" i="20" s="1"/>
  <c r="Y17" i="20" s="1"/>
  <c r="E46" i="8"/>
  <c r="F28" i="7"/>
  <c r="BG14" i="8"/>
  <c r="BP16" i="8"/>
  <c r="BS16" i="8"/>
  <c r="BV16" i="8"/>
  <c r="BY16" i="8"/>
  <c r="Y171" i="23"/>
  <c r="T172" i="23"/>
  <c r="Y171" i="22"/>
  <c r="T172" i="22"/>
  <c r="S60" i="7"/>
  <c r="W60" i="7"/>
  <c r="O60" i="7"/>
  <c r="F14" i="8"/>
  <c r="BA14" i="8"/>
  <c r="F10" i="20"/>
  <c r="P10" i="20"/>
  <c r="R10" i="20"/>
  <c r="V10" i="20"/>
  <c r="X10" i="20"/>
  <c r="Z10" i="20"/>
  <c r="AB10" i="20"/>
  <c r="F44" i="8"/>
  <c r="F22" i="20"/>
  <c r="F18" i="20" s="1"/>
  <c r="F23" i="20" s="1"/>
  <c r="H59" i="8"/>
  <c r="H61" i="8" s="1"/>
  <c r="AX44" i="8"/>
  <c r="H22" i="20"/>
  <c r="H18" i="20" s="1"/>
  <c r="H23" i="20" s="1"/>
  <c r="BA44" i="8"/>
  <c r="J22" i="20"/>
  <c r="J18" i="20" s="1"/>
  <c r="J23" i="20" s="1"/>
  <c r="BD44" i="8"/>
  <c r="L22" i="20"/>
  <c r="L18" i="20" s="1"/>
  <c r="L23" i="20" s="1"/>
  <c r="BG44" i="8"/>
  <c r="N22" i="20"/>
  <c r="N18" i="20" s="1"/>
  <c r="N23" i="20" s="1"/>
  <c r="BJ44" i="8"/>
  <c r="P22" i="20"/>
  <c r="P18" i="20" s="1"/>
  <c r="P23" i="20" s="1"/>
  <c r="BM44" i="8"/>
  <c r="R22" i="20"/>
  <c r="R18" i="20" s="1"/>
  <c r="R23" i="20" s="1"/>
  <c r="BP44" i="8"/>
  <c r="T22" i="20"/>
  <c r="T18" i="20" s="1"/>
  <c r="T23" i="20" s="1"/>
  <c r="BS44" i="8"/>
  <c r="V22" i="20"/>
  <c r="V18" i="20" s="1"/>
  <c r="V23" i="20" s="1"/>
  <c r="BV44" i="8"/>
  <c r="X22" i="20"/>
  <c r="X18" i="20" s="1"/>
  <c r="X23" i="20" s="1"/>
  <c r="BY44" i="8"/>
  <c r="Z22" i="20"/>
  <c r="Z18" i="20" s="1"/>
  <c r="Z23" i="20" s="1"/>
  <c r="CB44" i="8"/>
  <c r="AB22" i="20"/>
  <c r="AB18" i="20" s="1"/>
  <c r="AB23" i="20" s="1"/>
  <c r="CE44" i="8"/>
  <c r="AD22" i="20"/>
  <c r="AD18" i="20" s="1"/>
  <c r="AD23" i="20" s="1"/>
  <c r="G36" i="3"/>
  <c r="I59" i="8"/>
  <c r="G16" i="20" s="1"/>
  <c r="G12" i="20" s="1"/>
  <c r="G17" i="20" s="1"/>
  <c r="BW7" i="8"/>
  <c r="BZ7" i="8"/>
  <c r="CC7" i="8"/>
  <c r="BB8" i="8"/>
  <c r="BE8" i="8"/>
  <c r="BQ8" i="8"/>
  <c r="CC8" i="8"/>
  <c r="G10" i="20"/>
  <c r="M10" i="20"/>
  <c r="O10" i="20"/>
  <c r="Q10" i="20"/>
  <c r="S10" i="20"/>
  <c r="U10" i="20"/>
  <c r="U28" i="20" s="1"/>
  <c r="W10" i="20"/>
  <c r="Y10" i="20"/>
  <c r="AA10" i="20"/>
  <c r="CD44" i="8"/>
  <c r="AC22" i="20"/>
  <c r="AC18" i="20" s="1"/>
  <c r="AC23" i="20" s="1"/>
  <c r="CG46" i="8"/>
  <c r="R38" i="2" s="1"/>
  <c r="AG59" i="8"/>
  <c r="J59" i="8"/>
  <c r="H16" i="20" s="1"/>
  <c r="H12" i="20" s="1"/>
  <c r="H17" i="20" s="1"/>
  <c r="M59" i="8"/>
  <c r="K16" i="20" s="1"/>
  <c r="K12" i="20" s="1"/>
  <c r="K17" i="20" s="1"/>
  <c r="Q59" i="8"/>
  <c r="O16" i="20" s="1"/>
  <c r="O12" i="20" s="1"/>
  <c r="O17" i="20" s="1"/>
  <c r="U59" i="8"/>
  <c r="S16" i="20" s="1"/>
  <c r="S12" i="20" s="1"/>
  <c r="S17" i="20" s="1"/>
  <c r="Y59" i="8"/>
  <c r="W16" i="20" s="1"/>
  <c r="W12" i="20" s="1"/>
  <c r="W17" i="20" s="1"/>
  <c r="AC59" i="8"/>
  <c r="AA16" i="20" s="1"/>
  <c r="AA12" i="20" s="1"/>
  <c r="AA17" i="20" s="1"/>
  <c r="G59" i="8"/>
  <c r="BD15" i="8"/>
  <c r="BG15" i="8"/>
  <c r="BJ15" i="8"/>
  <c r="CA55" i="8"/>
  <c r="J42" i="8"/>
  <c r="N42" i="8"/>
  <c r="P42" i="8"/>
  <c r="BS14" i="8"/>
  <c r="AX15" i="8"/>
  <c r="BX46" i="8"/>
  <c r="O38" i="2" s="1"/>
  <c r="CD46" i="8"/>
  <c r="Q38" i="2" s="1"/>
  <c r="BX47" i="8"/>
  <c r="CD47" i="8"/>
  <c r="BI48" i="8"/>
  <c r="CA48" i="8"/>
  <c r="CA51" i="8"/>
  <c r="F28" i="3"/>
  <c r="G42" i="8"/>
  <c r="I28" i="3"/>
  <c r="BD16" i="8"/>
  <c r="CC57" i="8"/>
  <c r="CF57" i="8"/>
  <c r="F15" i="8"/>
  <c r="F16" i="8"/>
  <c r="AX17" i="8"/>
  <c r="BA17" i="8"/>
  <c r="CA49" i="8"/>
  <c r="BF58" i="7"/>
  <c r="BF60" i="7" s="1"/>
  <c r="BL58" i="7"/>
  <c r="BL60" i="7" s="1"/>
  <c r="CD58" i="7"/>
  <c r="I59" i="7"/>
  <c r="F17" i="8"/>
  <c r="E18" i="8"/>
  <c r="F13" i="3"/>
  <c r="AW18" i="8"/>
  <c r="F13" i="2" s="1"/>
  <c r="G13" i="3"/>
  <c r="AZ18" i="8"/>
  <c r="G13" i="2" s="1"/>
  <c r="H13" i="3"/>
  <c r="BC18" i="8"/>
  <c r="H13" i="2" s="1"/>
  <c r="I13" i="3"/>
  <c r="BF18" i="8"/>
  <c r="I13" i="2" s="1"/>
  <c r="J13" i="3"/>
  <c r="BI18" i="8"/>
  <c r="J13" i="2" s="1"/>
  <c r="K13" i="3"/>
  <c r="BL18" i="8"/>
  <c r="K13" i="2" s="1"/>
  <c r="L13" i="3"/>
  <c r="BO18" i="8"/>
  <c r="L13" i="2" s="1"/>
  <c r="M13" i="3"/>
  <c r="BR18" i="8"/>
  <c r="M13" i="2" s="1"/>
  <c r="N13" i="3"/>
  <c r="BU18" i="8"/>
  <c r="N13" i="2" s="1"/>
  <c r="O13" i="3"/>
  <c r="BX18" i="8"/>
  <c r="O13" i="2" s="1"/>
  <c r="P13" i="3"/>
  <c r="CA18" i="8"/>
  <c r="P13" i="2" s="1"/>
  <c r="Q13" i="3"/>
  <c r="E19" i="8"/>
  <c r="F14" i="3"/>
  <c r="AW19" i="8"/>
  <c r="F14" i="2" s="1"/>
  <c r="G14" i="3"/>
  <c r="AZ19" i="8"/>
  <c r="G14" i="2" s="1"/>
  <c r="H14" i="3"/>
  <c r="I14" i="3"/>
  <c r="I14" i="2"/>
  <c r="J14" i="3"/>
  <c r="J14" i="2"/>
  <c r="K14" i="3"/>
  <c r="K14" i="2"/>
  <c r="L14" i="3"/>
  <c r="M14" i="3"/>
  <c r="BR19" i="8"/>
  <c r="M14" i="2" s="1"/>
  <c r="N14" i="3"/>
  <c r="BU19" i="8"/>
  <c r="N14" i="2" s="1"/>
  <c r="O14" i="3"/>
  <c r="BX19" i="8"/>
  <c r="O14" i="2" s="1"/>
  <c r="P14" i="3"/>
  <c r="CA19" i="8"/>
  <c r="P14" i="2" s="1"/>
  <c r="Q14" i="3"/>
  <c r="E20" i="8"/>
  <c r="F15" i="3"/>
  <c r="AW20" i="8"/>
  <c r="F15" i="2" s="1"/>
  <c r="G15" i="3"/>
  <c r="AZ20" i="8"/>
  <c r="G15" i="2" s="1"/>
  <c r="H15" i="3"/>
  <c r="BC20" i="8"/>
  <c r="H15" i="2" s="1"/>
  <c r="I15" i="3"/>
  <c r="I15" i="2"/>
  <c r="J15" i="3"/>
  <c r="BI20" i="8"/>
  <c r="J15" i="2" s="1"/>
  <c r="K15" i="3"/>
  <c r="BL20" i="8"/>
  <c r="K15" i="2" s="1"/>
  <c r="L15" i="3"/>
  <c r="BO20" i="8"/>
  <c r="L15" i="2" s="1"/>
  <c r="M15" i="3"/>
  <c r="BR20" i="8"/>
  <c r="M15" i="2" s="1"/>
  <c r="N15" i="3"/>
  <c r="BU20" i="8"/>
  <c r="N15" i="2" s="1"/>
  <c r="O15" i="3"/>
  <c r="BX20" i="8"/>
  <c r="O15" i="2" s="1"/>
  <c r="P15" i="3"/>
  <c r="CA20" i="8"/>
  <c r="P15" i="2" s="1"/>
  <c r="Q15" i="3"/>
  <c r="F36" i="3"/>
  <c r="AZ46" i="8"/>
  <c r="G38" i="2" s="1"/>
  <c r="H36" i="3"/>
  <c r="BF46" i="8"/>
  <c r="I38" i="2" s="1"/>
  <c r="J36" i="3"/>
  <c r="BL46" i="8"/>
  <c r="K38" i="2" s="1"/>
  <c r="L36" i="3"/>
  <c r="BR46" i="8"/>
  <c r="M38" i="2" s="1"/>
  <c r="BC38" i="8"/>
  <c r="G9" i="3"/>
  <c r="I9" i="20"/>
  <c r="H9" i="3"/>
  <c r="I9" i="3"/>
  <c r="M9" i="20"/>
  <c r="J9" i="3"/>
  <c r="K9" i="3"/>
  <c r="Q9" i="20"/>
  <c r="L9" i="3"/>
  <c r="M9" i="3"/>
  <c r="U9" i="20"/>
  <c r="N9" i="3"/>
  <c r="O9" i="3"/>
  <c r="Y9" i="20"/>
  <c r="P9" i="3"/>
  <c r="Q9" i="3"/>
  <c r="E15" i="8"/>
  <c r="F10" i="3"/>
  <c r="AW15" i="8"/>
  <c r="AY15" i="8" s="1"/>
  <c r="G10" i="3"/>
  <c r="AZ15" i="8"/>
  <c r="G10" i="2" s="1"/>
  <c r="H10" i="3"/>
  <c r="BC15" i="8"/>
  <c r="H10" i="2" s="1"/>
  <c r="I10" i="3"/>
  <c r="BF15" i="8"/>
  <c r="I10" i="2" s="1"/>
  <c r="J10" i="3"/>
  <c r="BI15" i="8"/>
  <c r="J10" i="2" s="1"/>
  <c r="K10" i="3"/>
  <c r="BL15" i="8"/>
  <c r="K10" i="2" s="1"/>
  <c r="L10" i="3"/>
  <c r="BO15" i="8"/>
  <c r="L10" i="2" s="1"/>
  <c r="M10" i="3"/>
  <c r="BR15" i="8"/>
  <c r="M10" i="2" s="1"/>
  <c r="N10" i="3"/>
  <c r="BU15" i="8"/>
  <c r="N10" i="2" s="1"/>
  <c r="O10" i="3"/>
  <c r="BX15" i="8"/>
  <c r="O10" i="2" s="1"/>
  <c r="P10" i="3"/>
  <c r="CA15" i="8"/>
  <c r="P10" i="2" s="1"/>
  <c r="Q10" i="3"/>
  <c r="E16" i="8"/>
  <c r="F11" i="3"/>
  <c r="AW16" i="8"/>
  <c r="F11" i="2" s="1"/>
  <c r="G11" i="3"/>
  <c r="AZ16" i="8"/>
  <c r="G11" i="2" s="1"/>
  <c r="H11" i="3"/>
  <c r="BC16" i="8"/>
  <c r="H11" i="2" s="1"/>
  <c r="I11" i="3"/>
  <c r="BF16" i="8"/>
  <c r="I11" i="2" s="1"/>
  <c r="J11" i="3"/>
  <c r="BI16" i="8"/>
  <c r="J11" i="2" s="1"/>
  <c r="K11" i="3"/>
  <c r="BL16" i="8"/>
  <c r="K11" i="2" s="1"/>
  <c r="L11" i="3"/>
  <c r="BO16" i="8"/>
  <c r="L11" i="2" s="1"/>
  <c r="M11" i="3"/>
  <c r="BR16" i="8"/>
  <c r="M11" i="2" s="1"/>
  <c r="N11" i="3"/>
  <c r="BU16" i="8"/>
  <c r="N11" i="2" s="1"/>
  <c r="O11" i="3"/>
  <c r="BX16" i="8"/>
  <c r="O11" i="2" s="1"/>
  <c r="P11" i="3"/>
  <c r="CA16" i="8"/>
  <c r="P11" i="2" s="1"/>
  <c r="Q11" i="3"/>
  <c r="E17" i="8"/>
  <c r="F12" i="3"/>
  <c r="AW17" i="8"/>
  <c r="F12" i="2" s="1"/>
  <c r="G12" i="3"/>
  <c r="AZ17" i="8"/>
  <c r="G12" i="2" s="1"/>
  <c r="H12" i="3"/>
  <c r="BC17" i="8"/>
  <c r="H12" i="2" s="1"/>
  <c r="I12" i="3"/>
  <c r="BF17" i="8"/>
  <c r="I12" i="2" s="1"/>
  <c r="J12" i="3"/>
  <c r="BI17" i="8"/>
  <c r="J12" i="2" s="1"/>
  <c r="K12" i="3"/>
  <c r="BL17" i="8"/>
  <c r="K12" i="2" s="1"/>
  <c r="L12" i="3"/>
  <c r="BO17" i="8"/>
  <c r="L12" i="2" s="1"/>
  <c r="M12" i="3"/>
  <c r="BR17" i="8"/>
  <c r="M12" i="2" s="1"/>
  <c r="N12" i="3"/>
  <c r="BU17" i="8"/>
  <c r="N12" i="2" s="1"/>
  <c r="O12" i="3"/>
  <c r="BX17" i="8"/>
  <c r="O12" i="2" s="1"/>
  <c r="P12" i="3"/>
  <c r="CA17" i="8"/>
  <c r="P12" i="2" s="1"/>
  <c r="Q12" i="3"/>
  <c r="E21" i="8"/>
  <c r="F16" i="3"/>
  <c r="AW21" i="8"/>
  <c r="F16" i="2" s="1"/>
  <c r="G16" i="3"/>
  <c r="AZ21" i="8"/>
  <c r="G16" i="2" s="1"/>
  <c r="H16" i="3"/>
  <c r="BC21" i="8"/>
  <c r="H16" i="2" s="1"/>
  <c r="I16" i="3"/>
  <c r="BF21" i="8"/>
  <c r="I16" i="2" s="1"/>
  <c r="J16" i="3"/>
  <c r="BI21" i="8"/>
  <c r="J16" i="2" s="1"/>
  <c r="K16" i="3"/>
  <c r="BL21" i="8"/>
  <c r="K16" i="2" s="1"/>
  <c r="L16" i="3"/>
  <c r="BO21" i="8"/>
  <c r="L16" i="2" s="1"/>
  <c r="M16" i="3"/>
  <c r="BR21" i="8"/>
  <c r="M16" i="2" s="1"/>
  <c r="N16" i="3"/>
  <c r="BU21" i="8"/>
  <c r="N16" i="2" s="1"/>
  <c r="O16" i="3"/>
  <c r="BX21" i="8"/>
  <c r="O16" i="2" s="1"/>
  <c r="P16" i="3"/>
  <c r="CA21" i="8"/>
  <c r="P16" i="2" s="1"/>
  <c r="Q16" i="3"/>
  <c r="E22" i="8"/>
  <c r="F17" i="3"/>
  <c r="AW22" i="8"/>
  <c r="F17" i="2" s="1"/>
  <c r="G17" i="3"/>
  <c r="AZ22" i="8"/>
  <c r="G17" i="2" s="1"/>
  <c r="H17" i="3"/>
  <c r="BC22" i="8"/>
  <c r="H17" i="2" s="1"/>
  <c r="I17" i="3"/>
  <c r="BF22" i="8"/>
  <c r="I17" i="2" s="1"/>
  <c r="J17" i="3"/>
  <c r="BI22" i="8"/>
  <c r="J17" i="2" s="1"/>
  <c r="K17" i="3"/>
  <c r="BL22" i="8"/>
  <c r="K17" i="2" s="1"/>
  <c r="L17" i="3"/>
  <c r="BO22" i="8"/>
  <c r="L17" i="2" s="1"/>
  <c r="M17" i="3"/>
  <c r="BR22" i="8"/>
  <c r="M17" i="2" s="1"/>
  <c r="N17" i="3"/>
  <c r="BU22" i="8"/>
  <c r="N17" i="2" s="1"/>
  <c r="O17" i="3"/>
  <c r="BX22" i="8"/>
  <c r="O17" i="2" s="1"/>
  <c r="P17" i="3"/>
  <c r="CA22" i="8"/>
  <c r="P17" i="2" s="1"/>
  <c r="Q17" i="3"/>
  <c r="E23" i="8"/>
  <c r="F18" i="3"/>
  <c r="AW23" i="8"/>
  <c r="F18" i="2" s="1"/>
  <c r="G18" i="3"/>
  <c r="AZ23" i="8"/>
  <c r="G18" i="2" s="1"/>
  <c r="H18" i="3"/>
  <c r="BC23" i="8"/>
  <c r="H18" i="2" s="1"/>
  <c r="I18" i="3"/>
  <c r="BF23" i="8"/>
  <c r="I18" i="2" s="1"/>
  <c r="J18" i="3"/>
  <c r="BI23" i="8"/>
  <c r="J18" i="2" s="1"/>
  <c r="K18" i="3"/>
  <c r="BL23" i="8"/>
  <c r="K18" i="2" s="1"/>
  <c r="L18" i="3"/>
  <c r="BO23" i="8"/>
  <c r="L18" i="2" s="1"/>
  <c r="M18" i="3"/>
  <c r="BR23" i="8"/>
  <c r="M18" i="2" s="1"/>
  <c r="N18" i="3"/>
  <c r="BU23" i="8"/>
  <c r="N18" i="2" s="1"/>
  <c r="O18" i="3"/>
  <c r="BX23" i="8"/>
  <c r="O18" i="2" s="1"/>
  <c r="P18" i="3"/>
  <c r="CA23" i="8"/>
  <c r="P18" i="2" s="1"/>
  <c r="Q18" i="3"/>
  <c r="E24" i="8"/>
  <c r="F19" i="3"/>
  <c r="AW24" i="8"/>
  <c r="F19" i="2" s="1"/>
  <c r="G19" i="3"/>
  <c r="AZ24" i="8"/>
  <c r="G19" i="2" s="1"/>
  <c r="H19" i="3"/>
  <c r="BC24" i="8"/>
  <c r="H19" i="2" s="1"/>
  <c r="I19" i="3"/>
  <c r="BF24" i="8"/>
  <c r="I19" i="2" s="1"/>
  <c r="J19" i="3"/>
  <c r="BI24" i="8"/>
  <c r="J19" i="2" s="1"/>
  <c r="K19" i="3"/>
  <c r="BL24" i="8"/>
  <c r="K19" i="2" s="1"/>
  <c r="L19" i="3"/>
  <c r="BO24" i="8"/>
  <c r="L19" i="2" s="1"/>
  <c r="M19" i="3"/>
  <c r="BR24" i="8"/>
  <c r="M19" i="2" s="1"/>
  <c r="N19" i="3"/>
  <c r="BU24" i="8"/>
  <c r="N19" i="2" s="1"/>
  <c r="O19" i="3"/>
  <c r="BX24" i="8"/>
  <c r="O19" i="2" s="1"/>
  <c r="P19" i="3"/>
  <c r="CA24" i="8"/>
  <c r="P19" i="2" s="1"/>
  <c r="Q19" i="3"/>
  <c r="G28" i="3"/>
  <c r="AZ36" i="8"/>
  <c r="G31" i="2" s="1"/>
  <c r="H28" i="3"/>
  <c r="M28" i="20"/>
  <c r="J28" i="3"/>
  <c r="K28" i="3"/>
  <c r="L28" i="3"/>
  <c r="M28" i="3"/>
  <c r="N28" i="3"/>
  <c r="O28" i="3"/>
  <c r="P28" i="3"/>
  <c r="AA28" i="20"/>
  <c r="Q28" i="3"/>
  <c r="E37" i="8"/>
  <c r="F29" i="3"/>
  <c r="AW37" i="8"/>
  <c r="F32" i="2" s="1"/>
  <c r="G29" i="3"/>
  <c r="AZ37" i="8"/>
  <c r="G32" i="2" s="1"/>
  <c r="H29" i="3"/>
  <c r="BC37" i="8"/>
  <c r="H32" i="2" s="1"/>
  <c r="I29" i="3"/>
  <c r="BF37" i="8"/>
  <c r="I32" i="2" s="1"/>
  <c r="J29" i="3"/>
  <c r="BI37" i="8"/>
  <c r="J32" i="2" s="1"/>
  <c r="K29" i="3"/>
  <c r="BL37" i="8"/>
  <c r="K32" i="2" s="1"/>
  <c r="L29" i="3"/>
  <c r="BO37" i="8"/>
  <c r="L32" i="2" s="1"/>
  <c r="M29" i="3"/>
  <c r="BR37" i="8"/>
  <c r="M32" i="2" s="1"/>
  <c r="N29" i="3"/>
  <c r="BU37" i="8"/>
  <c r="N32" i="2" s="1"/>
  <c r="O29" i="3"/>
  <c r="BX37" i="8"/>
  <c r="O32" i="2" s="1"/>
  <c r="P29" i="3"/>
  <c r="CA37" i="8"/>
  <c r="P32" i="2" s="1"/>
  <c r="Q29" i="3"/>
  <c r="BF38" i="8"/>
  <c r="I33" i="2" s="1"/>
  <c r="J30" i="3"/>
  <c r="BI38" i="8"/>
  <c r="J33" i="2" s="1"/>
  <c r="K30" i="3"/>
  <c r="BL38" i="8"/>
  <c r="K33" i="2" s="1"/>
  <c r="L30" i="3"/>
  <c r="BO38" i="8"/>
  <c r="L33" i="2" s="1"/>
  <c r="M30" i="3"/>
  <c r="BR38" i="8"/>
  <c r="M33" i="2" s="1"/>
  <c r="N30" i="3"/>
  <c r="BU38" i="8"/>
  <c r="N33" i="2" s="1"/>
  <c r="O30" i="3"/>
  <c r="BX38" i="8"/>
  <c r="O33" i="2" s="1"/>
  <c r="P30" i="3"/>
  <c r="CA38" i="8"/>
  <c r="P33" i="2" s="1"/>
  <c r="Q30" i="3"/>
  <c r="E39" i="8"/>
  <c r="F31" i="3"/>
  <c r="AW39" i="8"/>
  <c r="F34" i="2" s="1"/>
  <c r="G31" i="3"/>
  <c r="AZ39" i="8"/>
  <c r="G34" i="2" s="1"/>
  <c r="H31" i="3"/>
  <c r="BC39" i="8"/>
  <c r="H34" i="2" s="1"/>
  <c r="I31" i="3"/>
  <c r="BF39" i="8"/>
  <c r="I34" i="2" s="1"/>
  <c r="J31" i="3"/>
  <c r="BI39" i="8"/>
  <c r="J34" i="2" s="1"/>
  <c r="K31" i="3"/>
  <c r="BL39" i="8"/>
  <c r="K34" i="2" s="1"/>
  <c r="L31" i="3"/>
  <c r="BO39" i="8"/>
  <c r="L34" i="2" s="1"/>
  <c r="M31" i="3"/>
  <c r="BR39" i="8"/>
  <c r="M34" i="2" s="1"/>
  <c r="N31" i="3"/>
  <c r="BU39" i="8"/>
  <c r="N34" i="2" s="1"/>
  <c r="O31" i="3"/>
  <c r="BX39" i="8"/>
  <c r="O34" i="2" s="1"/>
  <c r="P31" i="3"/>
  <c r="CA39" i="8"/>
  <c r="P34" i="2" s="1"/>
  <c r="Q31" i="3"/>
  <c r="E40" i="8"/>
  <c r="F32" i="3"/>
  <c r="AW40" i="8"/>
  <c r="F35" i="2" s="1"/>
  <c r="G32" i="3"/>
  <c r="AZ40" i="8"/>
  <c r="G35" i="2" s="1"/>
  <c r="H32" i="3"/>
  <c r="BC40" i="8"/>
  <c r="H35" i="2" s="1"/>
  <c r="I32" i="3"/>
  <c r="BF40" i="8"/>
  <c r="I35" i="2" s="1"/>
  <c r="J32" i="3"/>
  <c r="BI40" i="8"/>
  <c r="J35" i="2" s="1"/>
  <c r="K32" i="3"/>
  <c r="BL40" i="8"/>
  <c r="K35" i="2" s="1"/>
  <c r="L32" i="3"/>
  <c r="BO40" i="8"/>
  <c r="L35" i="2" s="1"/>
  <c r="M32" i="3"/>
  <c r="BR40" i="8"/>
  <c r="M35" i="2" s="1"/>
  <c r="N32" i="3"/>
  <c r="BU40" i="8"/>
  <c r="N35" i="2" s="1"/>
  <c r="O32" i="3"/>
  <c r="BX40" i="8"/>
  <c r="O35" i="2" s="1"/>
  <c r="P32" i="3"/>
  <c r="CA40" i="8"/>
  <c r="P35" i="2" s="1"/>
  <c r="Q32" i="3"/>
  <c r="E44" i="8"/>
  <c r="F34" i="3"/>
  <c r="AW44" i="8"/>
  <c r="F36" i="2" s="1"/>
  <c r="G34" i="3"/>
  <c r="AZ44" i="8"/>
  <c r="G36" i="2" s="1"/>
  <c r="H34" i="3"/>
  <c r="BC44" i="8"/>
  <c r="H36" i="2" s="1"/>
  <c r="I34" i="3"/>
  <c r="BF44" i="8"/>
  <c r="I36" i="2" s="1"/>
  <c r="J34" i="3"/>
  <c r="BI44" i="8"/>
  <c r="J36" i="2" s="1"/>
  <c r="K34" i="3"/>
  <c r="BL44" i="8"/>
  <c r="K36" i="2" s="1"/>
  <c r="L34" i="3"/>
  <c r="BO44" i="8"/>
  <c r="L36" i="2" s="1"/>
  <c r="M34" i="3"/>
  <c r="BR44" i="8"/>
  <c r="M36" i="2" s="1"/>
  <c r="N34" i="3"/>
  <c r="BU44" i="8"/>
  <c r="N36" i="2" s="1"/>
  <c r="O34" i="3"/>
  <c r="BX44" i="8"/>
  <c r="O36" i="2" s="1"/>
  <c r="P34" i="3"/>
  <c r="CA44" i="8"/>
  <c r="P36" i="2" s="1"/>
  <c r="Q34" i="3"/>
  <c r="J60" i="7"/>
  <c r="J61" i="7" s="1"/>
  <c r="I32" i="7"/>
  <c r="C31" i="8"/>
  <c r="C61" i="8"/>
  <c r="C62" i="8" s="1"/>
  <c r="I36" i="3"/>
  <c r="K36" i="3"/>
  <c r="M36" i="3"/>
  <c r="H61" i="7"/>
  <c r="D61" i="7"/>
  <c r="C59" i="7"/>
  <c r="CA54" i="8"/>
  <c r="Q36" i="3"/>
  <c r="BI7" i="8"/>
  <c r="BL7" i="8"/>
  <c r="BN7" i="8" s="1"/>
  <c r="BO7" i="8"/>
  <c r="BQ7" i="8" s="1"/>
  <c r="BR7" i="8"/>
  <c r="B11" i="8"/>
  <c r="D11" i="8"/>
  <c r="J11" i="8"/>
  <c r="L11" i="8"/>
  <c r="N11" i="8"/>
  <c r="P11" i="8"/>
  <c r="R11" i="8"/>
  <c r="T11" i="8"/>
  <c r="V11" i="8"/>
  <c r="X11" i="8"/>
  <c r="Z11" i="8"/>
  <c r="AB11" i="8"/>
  <c r="AD11" i="8"/>
  <c r="AF11" i="8"/>
  <c r="AH11" i="8"/>
  <c r="CA52" i="8"/>
  <c r="E53" i="8"/>
  <c r="CA53" i="8"/>
  <c r="AY36" i="7"/>
  <c r="BE36" i="7"/>
  <c r="BK36" i="7"/>
  <c r="BQ36" i="7"/>
  <c r="BW36" i="7"/>
  <c r="CC36" i="7"/>
  <c r="BE18" i="8"/>
  <c r="BZ19" i="8"/>
  <c r="BH38" i="7"/>
  <c r="BK38" i="7"/>
  <c r="BN38" i="7"/>
  <c r="BQ38" i="7"/>
  <c r="BT38" i="7"/>
  <c r="BW38" i="7"/>
  <c r="BZ38" i="7"/>
  <c r="CC38" i="7"/>
  <c r="CF38" i="7"/>
  <c r="AY39" i="7"/>
  <c r="BB39" i="7"/>
  <c r="BE39" i="7"/>
  <c r="BH39" i="7"/>
  <c r="BK39" i="7"/>
  <c r="BN39" i="7"/>
  <c r="BQ39" i="7"/>
  <c r="BT39" i="7"/>
  <c r="BW39" i="7"/>
  <c r="BZ39" i="7"/>
  <c r="CC39" i="7"/>
  <c r="CF39" i="7"/>
  <c r="AY40" i="7"/>
  <c r="BB40" i="7"/>
  <c r="BE40" i="7"/>
  <c r="BH40" i="7"/>
  <c r="BK40" i="7"/>
  <c r="BN40" i="7"/>
  <c r="BQ40" i="7"/>
  <c r="BT40" i="7"/>
  <c r="BW40" i="7"/>
  <c r="BZ40" i="7"/>
  <c r="CC40" i="7"/>
  <c r="CF40" i="7"/>
  <c r="AY44" i="7"/>
  <c r="BB44" i="7"/>
  <c r="BE44" i="7"/>
  <c r="BH44" i="7"/>
  <c r="BK44" i="7"/>
  <c r="BN44" i="7"/>
  <c r="BQ44" i="7"/>
  <c r="BT44" i="7"/>
  <c r="BW44" i="7"/>
  <c r="BZ44" i="7"/>
  <c r="CC44" i="7"/>
  <c r="CF44" i="7"/>
  <c r="BZ8" i="8"/>
  <c r="BO48" i="8"/>
  <c r="BU48" i="8"/>
  <c r="BX49" i="8"/>
  <c r="E50" i="8"/>
  <c r="BX50" i="8"/>
  <c r="E51" i="8"/>
  <c r="BO51" i="8"/>
  <c r="BM6" i="8"/>
  <c r="BN8" i="8"/>
  <c r="C11" i="8"/>
  <c r="I11" i="8"/>
  <c r="M11" i="8"/>
  <c r="I26" i="3" s="1"/>
  <c r="Q11" i="8"/>
  <c r="K26" i="3" s="1"/>
  <c r="U11" i="8"/>
  <c r="M26" i="3" s="1"/>
  <c r="Y11" i="8"/>
  <c r="O26" i="3" s="1"/>
  <c r="AC11" i="8"/>
  <c r="Q26" i="3" s="1"/>
  <c r="AG11" i="8"/>
  <c r="S26" i="3" s="1"/>
  <c r="BG6" i="8"/>
  <c r="CE6" i="8"/>
  <c r="BE9" i="8"/>
  <c r="BK9" i="8"/>
  <c r="BN9" i="8"/>
  <c r="BQ9" i="8"/>
  <c r="BZ9" i="8"/>
  <c r="CC9" i="8"/>
  <c r="AY10" i="8"/>
  <c r="BB10" i="8"/>
  <c r="BE10" i="8"/>
  <c r="BK10" i="8"/>
  <c r="BQ10" i="8"/>
  <c r="BW10" i="8"/>
  <c r="BZ10" i="8"/>
  <c r="CI53" i="8"/>
  <c r="AX16" i="8"/>
  <c r="BA16" i="8"/>
  <c r="G11" i="8"/>
  <c r="E6" i="8"/>
  <c r="F36" i="8"/>
  <c r="AW6" i="8"/>
  <c r="BU6" i="8"/>
  <c r="BH8" i="8"/>
  <c r="BT8" i="8"/>
  <c r="CF8" i="8"/>
  <c r="CF10" i="8"/>
  <c r="BH19" i="8"/>
  <c r="BN19" i="8"/>
  <c r="BC46" i="8"/>
  <c r="H38" i="2" s="1"/>
  <c r="BI46" i="8"/>
  <c r="J38" i="2" s="1"/>
  <c r="BO46" i="8"/>
  <c r="L38" i="2" s="1"/>
  <c r="BU46" i="8"/>
  <c r="N38" i="2" s="1"/>
  <c r="CA46" i="8"/>
  <c r="P38" i="2" s="1"/>
  <c r="E47" i="8"/>
  <c r="BC47" i="8"/>
  <c r="H39" i="2" s="1"/>
  <c r="BI47" i="8"/>
  <c r="BO47" i="8"/>
  <c r="BU47" i="8"/>
  <c r="CA47" i="8"/>
  <c r="E48" i="8"/>
  <c r="BX48" i="8"/>
  <c r="E49" i="8"/>
  <c r="BU49" i="8"/>
  <c r="BO50" i="8"/>
  <c r="BU50" i="8"/>
  <c r="BX51" i="8"/>
  <c r="E52" i="8"/>
  <c r="BR52" i="8"/>
  <c r="BX52" i="8"/>
  <c r="BX53" i="8"/>
  <c r="E54" i="8"/>
  <c r="H11" i="8"/>
  <c r="F6" i="8"/>
  <c r="E9" i="20"/>
  <c r="E26" i="20" s="1"/>
  <c r="E14" i="8"/>
  <c r="F10" i="2"/>
  <c r="E36" i="8"/>
  <c r="BA6" i="8"/>
  <c r="BA11" i="8" s="1"/>
  <c r="BI6" i="8"/>
  <c r="BS6" i="8"/>
  <c r="BY6" i="8"/>
  <c r="CG6" i="8"/>
  <c r="CG11" i="8" s="1"/>
  <c r="BW15" i="8"/>
  <c r="CI15" i="8"/>
  <c r="BT16" i="8"/>
  <c r="CI21" i="8"/>
  <c r="CF23" i="8"/>
  <c r="S18" i="2" s="1"/>
  <c r="BB25" i="8"/>
  <c r="BH25" i="8"/>
  <c r="BN25" i="8"/>
  <c r="BT25" i="8"/>
  <c r="BZ25" i="8"/>
  <c r="CC25" i="8"/>
  <c r="CF25" i="8"/>
  <c r="CI25" i="8"/>
  <c r="BA38" i="8"/>
  <c r="BX54" i="8"/>
  <c r="BU53" i="8"/>
  <c r="BR58" i="7"/>
  <c r="BX58" i="7"/>
  <c r="BX60" i="7" s="1"/>
  <c r="BU52" i="8"/>
  <c r="BU51" i="8"/>
  <c r="BR51" i="8"/>
  <c r="BL50" i="8"/>
  <c r="BR50" i="8"/>
  <c r="BL49" i="8"/>
  <c r="BR49" i="8"/>
  <c r="BO49" i="8"/>
  <c r="BI49" i="8"/>
  <c r="BF48" i="8"/>
  <c r="BL48" i="8"/>
  <c r="BR48" i="8"/>
  <c r="BF47" i="8"/>
  <c r="BL47" i="8"/>
  <c r="BR47" i="8"/>
  <c r="D123" i="13"/>
  <c r="D124" i="13" s="1"/>
  <c r="D122" i="13"/>
  <c r="D121" i="13"/>
  <c r="D120" i="13"/>
  <c r="D119" i="13"/>
  <c r="D118" i="13"/>
  <c r="D117" i="13"/>
  <c r="D116" i="13"/>
  <c r="D115" i="13"/>
  <c r="D114" i="13"/>
  <c r="D113" i="13"/>
  <c r="T124" i="13"/>
  <c r="Y135" i="13" s="1"/>
  <c r="AF50" i="7" s="1"/>
  <c r="CI48" i="8"/>
  <c r="CF53" i="7"/>
  <c r="CI54" i="8"/>
  <c r="G59" i="7"/>
  <c r="D123" i="19"/>
  <c r="D124" i="19" s="1"/>
  <c r="D122" i="19"/>
  <c r="D121" i="19"/>
  <c r="D120" i="19"/>
  <c r="D119" i="19"/>
  <c r="D118" i="19"/>
  <c r="D117" i="19"/>
  <c r="D116" i="19"/>
  <c r="D115" i="19"/>
  <c r="D114" i="19"/>
  <c r="D113" i="19"/>
  <c r="D123" i="18"/>
  <c r="D124" i="18" s="1"/>
  <c r="D122" i="18"/>
  <c r="D121" i="18"/>
  <c r="D120" i="18"/>
  <c r="D119" i="18"/>
  <c r="D118" i="18"/>
  <c r="D117" i="18"/>
  <c r="D116" i="18"/>
  <c r="D115" i="18"/>
  <c r="D114" i="18"/>
  <c r="D113" i="18"/>
  <c r="D123" i="17"/>
  <c r="D124" i="17" s="1"/>
  <c r="D122" i="17"/>
  <c r="D121" i="17"/>
  <c r="D120" i="17"/>
  <c r="D119" i="17"/>
  <c r="D118" i="17"/>
  <c r="D117" i="17"/>
  <c r="D116" i="17"/>
  <c r="D115" i="17"/>
  <c r="D114" i="17"/>
  <c r="D113" i="17"/>
  <c r="D123" i="16"/>
  <c r="D124" i="16" s="1"/>
  <c r="D122" i="16"/>
  <c r="D121" i="16"/>
  <c r="D120" i="16"/>
  <c r="D119" i="16"/>
  <c r="D118" i="16"/>
  <c r="D117" i="16"/>
  <c r="D116" i="16"/>
  <c r="D115" i="16"/>
  <c r="D114" i="16"/>
  <c r="D113" i="16"/>
  <c r="D123" i="15"/>
  <c r="D124" i="15" s="1"/>
  <c r="D122" i="15"/>
  <c r="D121" i="15"/>
  <c r="D120" i="15"/>
  <c r="D119" i="15"/>
  <c r="D118" i="15"/>
  <c r="D117" i="15"/>
  <c r="D116" i="15"/>
  <c r="D115" i="15"/>
  <c r="D114" i="15"/>
  <c r="D113" i="15"/>
  <c r="D123" i="14"/>
  <c r="D124" i="14" s="1"/>
  <c r="D122" i="14"/>
  <c r="D121" i="14"/>
  <c r="D120" i="14"/>
  <c r="D119" i="14"/>
  <c r="D118" i="14"/>
  <c r="D117" i="14"/>
  <c r="D116" i="14"/>
  <c r="D115" i="14"/>
  <c r="D114" i="14"/>
  <c r="D113" i="14"/>
  <c r="D123" i="12"/>
  <c r="D124" i="12" s="1"/>
  <c r="D122" i="12"/>
  <c r="D121" i="12"/>
  <c r="D120" i="12"/>
  <c r="D119" i="12"/>
  <c r="D118" i="12"/>
  <c r="D117" i="12"/>
  <c r="D116" i="12"/>
  <c r="D115" i="12"/>
  <c r="D114" i="12"/>
  <c r="D113" i="12"/>
  <c r="D123" i="11"/>
  <c r="D124" i="11" s="1"/>
  <c r="D122" i="11"/>
  <c r="D121" i="11"/>
  <c r="D120" i="11"/>
  <c r="D119" i="11"/>
  <c r="D118" i="11"/>
  <c r="D117" i="11"/>
  <c r="D116" i="11"/>
  <c r="D115" i="11"/>
  <c r="D114" i="11"/>
  <c r="D113" i="11"/>
  <c r="D123" i="10"/>
  <c r="D124" i="10" s="1"/>
  <c r="D122" i="10"/>
  <c r="D121" i="10"/>
  <c r="D120" i="10"/>
  <c r="D119" i="10"/>
  <c r="D118" i="10"/>
  <c r="D117" i="10"/>
  <c r="D116" i="10"/>
  <c r="D115" i="10"/>
  <c r="D114" i="10"/>
  <c r="D113" i="10"/>
  <c r="E12" i="7"/>
  <c r="BI33" i="7"/>
  <c r="BO33" i="7"/>
  <c r="BU33" i="7"/>
  <c r="CD60" i="7"/>
  <c r="CD33" i="7"/>
  <c r="AW33" i="7"/>
  <c r="BL33" i="7"/>
  <c r="BX33" i="7"/>
  <c r="K11" i="8"/>
  <c r="H26" i="3" s="1"/>
  <c r="AZ6" i="8"/>
  <c r="O11" i="8"/>
  <c r="BF6" i="8"/>
  <c r="S11" i="8"/>
  <c r="BL6" i="8"/>
  <c r="W11" i="8"/>
  <c r="BR6" i="8"/>
  <c r="AA11" i="8"/>
  <c r="P26" i="3" s="1"/>
  <c r="BX6" i="8"/>
  <c r="AE11" i="8"/>
  <c r="R26" i="3" s="1"/>
  <c r="CD6" i="8"/>
  <c r="BB6" i="7"/>
  <c r="BB11" i="7" s="1"/>
  <c r="BH6" i="7"/>
  <c r="BN6" i="7"/>
  <c r="BT6" i="7"/>
  <c r="BZ6" i="7"/>
  <c r="CF6" i="7"/>
  <c r="C12" i="7"/>
  <c r="G12" i="7"/>
  <c r="K12" i="7"/>
  <c r="O12" i="7"/>
  <c r="S12" i="7"/>
  <c r="W12" i="7"/>
  <c r="AA12" i="7"/>
  <c r="AE12" i="7"/>
  <c r="AY14" i="7"/>
  <c r="AY31" i="7" s="1"/>
  <c r="BE14" i="7"/>
  <c r="BK14" i="7"/>
  <c r="BQ14" i="7"/>
  <c r="BW14" i="7"/>
  <c r="CC14" i="7"/>
  <c r="AV18" i="7"/>
  <c r="AV21" i="7"/>
  <c r="D33" i="7"/>
  <c r="H33" i="7"/>
  <c r="J33" i="7"/>
  <c r="BB36" i="7"/>
  <c r="BH36" i="7"/>
  <c r="BN36" i="7"/>
  <c r="BT36" i="7"/>
  <c r="BZ36" i="7"/>
  <c r="CF36" i="7"/>
  <c r="E38" i="7"/>
  <c r="E58" i="7" s="1"/>
  <c r="AW38" i="7"/>
  <c r="AY38" i="7" s="1"/>
  <c r="BC38" i="7"/>
  <c r="BE38" i="7" s="1"/>
  <c r="BC58" i="7"/>
  <c r="BC60" i="7" s="1"/>
  <c r="BI58" i="7"/>
  <c r="BI60" i="7" s="1"/>
  <c r="BO58" i="7"/>
  <c r="BO60" i="7" s="1"/>
  <c r="BU58" i="7"/>
  <c r="BU60" i="7" s="1"/>
  <c r="CA58" i="7"/>
  <c r="CA60" i="7" s="1"/>
  <c r="BC6" i="8"/>
  <c r="BO6" i="8"/>
  <c r="CA6" i="8"/>
  <c r="BH7" i="8"/>
  <c r="CF7" i="8"/>
  <c r="BH9" i="8"/>
  <c r="BT9" i="8"/>
  <c r="CF9" i="8"/>
  <c r="BH18" i="8"/>
  <c r="BH20" i="8"/>
  <c r="AY6" i="7"/>
  <c r="AY11" i="7" s="1"/>
  <c r="BE6" i="7"/>
  <c r="BK6" i="7"/>
  <c r="BQ6" i="7"/>
  <c r="BQ11" i="7" s="1"/>
  <c r="BW6" i="7"/>
  <c r="BW11" i="7" s="1"/>
  <c r="CC6" i="7"/>
  <c r="I12" i="7"/>
  <c r="M12" i="7"/>
  <c r="Q12" i="7"/>
  <c r="U12" i="7"/>
  <c r="Y12" i="7"/>
  <c r="AC12" i="7"/>
  <c r="AG12" i="7"/>
  <c r="BB14" i="7"/>
  <c r="BH14" i="7"/>
  <c r="BN14" i="7"/>
  <c r="BT14" i="7"/>
  <c r="BZ14" i="7"/>
  <c r="CF14" i="7"/>
  <c r="C33" i="7"/>
  <c r="G33" i="7"/>
  <c r="G34" i="7" s="1"/>
  <c r="I33" i="7"/>
  <c r="M33" i="7"/>
  <c r="O33" i="7"/>
  <c r="Q33" i="7"/>
  <c r="S33" i="7"/>
  <c r="U33" i="7"/>
  <c r="W33" i="7"/>
  <c r="Y33" i="7"/>
  <c r="AA33" i="7"/>
  <c r="AC33" i="7"/>
  <c r="AE33" i="7"/>
  <c r="AG33" i="7"/>
  <c r="AZ38" i="7"/>
  <c r="BB38" i="7" s="1"/>
  <c r="AY17" i="8"/>
  <c r="BW17" i="8"/>
  <c r="CI17" i="8"/>
  <c r="BN17" i="8"/>
  <c r="BN18" i="8"/>
  <c r="AY19" i="8"/>
  <c r="BK19" i="8"/>
  <c r="CC19" i="8"/>
  <c r="CI19" i="8"/>
  <c r="AY20" i="8"/>
  <c r="BK20" i="8"/>
  <c r="BW20" i="8"/>
  <c r="AV6" i="8"/>
  <c r="AV11" i="8" s="1"/>
  <c r="AX6" i="8"/>
  <c r="BD6" i="8"/>
  <c r="BJ6" i="8"/>
  <c r="BP6" i="8"/>
  <c r="BP11" i="8" s="1"/>
  <c r="BV6" i="8"/>
  <c r="BV11" i="8" s="1"/>
  <c r="CB6" i="8"/>
  <c r="CB11" i="8" s="1"/>
  <c r="CH6" i="8"/>
  <c r="D31" i="8"/>
  <c r="AV14" i="8"/>
  <c r="AV31" i="8" s="1"/>
  <c r="AX14" i="8"/>
  <c r="AZ14" i="8"/>
  <c r="BD14" i="8"/>
  <c r="BF14" i="8"/>
  <c r="BJ14" i="8"/>
  <c r="BL14" i="8"/>
  <c r="BP14" i="8"/>
  <c r="BR14" i="8"/>
  <c r="BV14" i="8"/>
  <c r="BX14" i="8"/>
  <c r="CB14" i="8"/>
  <c r="CD14" i="8"/>
  <c r="CH14" i="8"/>
  <c r="AY26" i="8"/>
  <c r="BB26" i="8"/>
  <c r="BE26" i="8"/>
  <c r="BH26" i="8"/>
  <c r="BK26" i="8"/>
  <c r="BN26" i="8"/>
  <c r="BQ26" i="8"/>
  <c r="BT26" i="8"/>
  <c r="BW26" i="8"/>
  <c r="BZ26" i="8"/>
  <c r="CC26" i="8"/>
  <c r="CF26" i="8"/>
  <c r="CI26" i="8"/>
  <c r="AW14" i="8"/>
  <c r="BC14" i="8"/>
  <c r="BI14" i="8"/>
  <c r="BO14" i="8"/>
  <c r="BU14" i="8"/>
  <c r="CA14" i="8"/>
  <c r="CG14" i="8"/>
  <c r="T9" i="2" s="1"/>
  <c r="AY25" i="8"/>
  <c r="BE25" i="8"/>
  <c r="BK25" i="8"/>
  <c r="BQ25" i="8"/>
  <c r="BW25" i="8"/>
  <c r="AW38" i="8"/>
  <c r="AV36" i="8"/>
  <c r="AV61" i="8" s="1"/>
  <c r="AX36" i="8"/>
  <c r="BD36" i="8"/>
  <c r="BF36" i="8"/>
  <c r="I31" i="2" s="1"/>
  <c r="BJ36" i="8"/>
  <c r="BL36" i="8"/>
  <c r="K31" i="2" s="1"/>
  <c r="BP36" i="8"/>
  <c r="BR36" i="8"/>
  <c r="M31" i="2" s="1"/>
  <c r="BV36" i="8"/>
  <c r="BX36" i="8"/>
  <c r="O31" i="2" s="1"/>
  <c r="CB36" i="8"/>
  <c r="CD36" i="8"/>
  <c r="Q31" i="2" s="1"/>
  <c r="CH36" i="8"/>
  <c r="U31" i="2" s="1"/>
  <c r="AW36" i="8"/>
  <c r="F31" i="2" s="1"/>
  <c r="BA36" i="8"/>
  <c r="BC36" i="8"/>
  <c r="H31" i="2" s="1"/>
  <c r="BG36" i="8"/>
  <c r="BI36" i="8"/>
  <c r="J31" i="2" s="1"/>
  <c r="BM36" i="8"/>
  <c r="BO36" i="8"/>
  <c r="L31" i="2" s="1"/>
  <c r="BS36" i="8"/>
  <c r="BU36" i="8"/>
  <c r="N31" i="2" s="1"/>
  <c r="BY36" i="8"/>
  <c r="CA36" i="8"/>
  <c r="P31" i="2" s="1"/>
  <c r="CE36" i="8"/>
  <c r="CG36" i="8"/>
  <c r="CI40" i="8"/>
  <c r="BQ19" i="8" l="1"/>
  <c r="C34" i="7"/>
  <c r="B31" i="8"/>
  <c r="BK11" i="7"/>
  <c r="BR60" i="7"/>
  <c r="BS11" i="8"/>
  <c r="BT19" i="8"/>
  <c r="AW11" i="8"/>
  <c r="BN20" i="8"/>
  <c r="BE19" i="8"/>
  <c r="CC11" i="7"/>
  <c r="BE11" i="7"/>
  <c r="CC10" i="8"/>
  <c r="CE11" i="8"/>
  <c r="BT7" i="8"/>
  <c r="BU11" i="8"/>
  <c r="BZ11" i="7"/>
  <c r="BN11" i="7"/>
  <c r="CF39" i="8"/>
  <c r="S34" i="2" s="1"/>
  <c r="CI57" i="8"/>
  <c r="CI44" i="8"/>
  <c r="CI37" i="8"/>
  <c r="CI24" i="8"/>
  <c r="CW11" i="8"/>
  <c r="CW33" i="8" s="1"/>
  <c r="S28" i="20"/>
  <c r="O28" i="20"/>
  <c r="G28" i="20"/>
  <c r="AY40" i="8"/>
  <c r="BJ11" i="8"/>
  <c r="AX11" i="8"/>
  <c r="BT22" i="8"/>
  <c r="BZ18" i="8"/>
  <c r="BB18" i="8"/>
  <c r="BK17" i="8"/>
  <c r="CC16" i="8"/>
  <c r="BT18" i="8"/>
  <c r="BH17" i="8"/>
  <c r="BN16" i="8"/>
  <c r="BK15" i="8"/>
  <c r="BB19" i="8"/>
  <c r="E11" i="8"/>
  <c r="AY16" i="8"/>
  <c r="CC18" i="8"/>
  <c r="BK18" i="8"/>
  <c r="AY18" i="8"/>
  <c r="K42" i="8"/>
  <c r="I10" i="20" s="1"/>
  <c r="I28" i="20" s="1"/>
  <c r="Q28" i="20"/>
  <c r="CI55" i="8"/>
  <c r="CI49" i="8"/>
  <c r="CI39" i="8"/>
  <c r="CI22" i="8"/>
  <c r="CI16" i="8"/>
  <c r="BH37" i="8"/>
  <c r="BE44" i="8"/>
  <c r="CX37" i="8"/>
  <c r="AX61" i="8"/>
  <c r="CF37" i="8"/>
  <c r="S32" i="2" s="1"/>
  <c r="BD11" i="8"/>
  <c r="BZ20" i="8"/>
  <c r="BB20" i="8"/>
  <c r="CC20" i="8"/>
  <c r="BQ20" i="8"/>
  <c r="BE20" i="8"/>
  <c r="BW19" i="8"/>
  <c r="BT20" i="8"/>
  <c r="CF17" i="8"/>
  <c r="S12" i="2" s="1"/>
  <c r="CF38" i="8"/>
  <c r="S33" i="2" s="1"/>
  <c r="E38" i="8"/>
  <c r="CF24" i="8"/>
  <c r="S19" i="2" s="1"/>
  <c r="CF16" i="8"/>
  <c r="S11" i="2" s="1"/>
  <c r="F11" i="8"/>
  <c r="CF40" i="8"/>
  <c r="S35" i="2" s="1"/>
  <c r="BK7" i="8"/>
  <c r="Q39" i="2"/>
  <c r="Q30" i="2" s="1"/>
  <c r="S61" i="8"/>
  <c r="BJ29" i="7"/>
  <c r="BK29" i="7" s="1"/>
  <c r="F29" i="7"/>
  <c r="BM29" i="7"/>
  <c r="BN29" i="7" s="1"/>
  <c r="CQ11" i="8"/>
  <c r="AH29" i="8"/>
  <c r="BJ29" i="8" s="1"/>
  <c r="BK29" i="8" s="1"/>
  <c r="AE61" i="8"/>
  <c r="I61" i="8"/>
  <c r="I63" i="8" s="1"/>
  <c r="M39" i="2"/>
  <c r="M30" i="2" s="1"/>
  <c r="I39" i="2"/>
  <c r="I30" i="2" s="1"/>
  <c r="P39" i="2"/>
  <c r="L39" i="2"/>
  <c r="AC10" i="20"/>
  <c r="AC28" i="20" s="1"/>
  <c r="R31" i="2"/>
  <c r="T31" i="2"/>
  <c r="R15" i="2"/>
  <c r="T15" i="2"/>
  <c r="R13" i="2"/>
  <c r="T13" i="2"/>
  <c r="R34" i="2"/>
  <c r="T34" i="2"/>
  <c r="R32" i="2"/>
  <c r="T32" i="2"/>
  <c r="R19" i="2"/>
  <c r="T19" i="2"/>
  <c r="R17" i="2"/>
  <c r="T17" i="2"/>
  <c r="R11" i="2"/>
  <c r="T11" i="2"/>
  <c r="BT37" i="8"/>
  <c r="K39" i="2"/>
  <c r="K30" i="2" s="1"/>
  <c r="BQ21" i="8"/>
  <c r="N39" i="2"/>
  <c r="N30" i="2" s="1"/>
  <c r="J39" i="2"/>
  <c r="J30" i="2" s="1"/>
  <c r="BW18" i="8"/>
  <c r="O39" i="2"/>
  <c r="R39" i="2"/>
  <c r="T39" i="2"/>
  <c r="S39" i="2"/>
  <c r="R14" i="2"/>
  <c r="T14" i="2"/>
  <c r="R35" i="2"/>
  <c r="T35" i="2"/>
  <c r="R33" i="2"/>
  <c r="T33" i="2"/>
  <c r="R18" i="2"/>
  <c r="T18" i="2"/>
  <c r="R16" i="2"/>
  <c r="T16" i="2"/>
  <c r="R12" i="2"/>
  <c r="T12" i="2"/>
  <c r="R10" i="2"/>
  <c r="T10" i="2"/>
  <c r="O30" i="2"/>
  <c r="T8" i="2"/>
  <c r="U39" i="2"/>
  <c r="P30" i="2"/>
  <c r="L30" i="2"/>
  <c r="BZ37" i="8"/>
  <c r="BN37" i="8"/>
  <c r="BB37" i="8"/>
  <c r="BH24" i="8"/>
  <c r="CC21" i="8"/>
  <c r="BE21" i="8"/>
  <c r="D34" i="3"/>
  <c r="CF19" i="8"/>
  <c r="S14" i="2" s="1"/>
  <c r="CF18" i="8"/>
  <c r="S13" i="2" s="1"/>
  <c r="BK40" i="8"/>
  <c r="CF44" i="8"/>
  <c r="CF22" i="8"/>
  <c r="S17" i="2" s="1"/>
  <c r="CF21" i="8"/>
  <c r="S16" i="2" s="1"/>
  <c r="CF15" i="8"/>
  <c r="S10" i="2" s="1"/>
  <c r="CI56" i="8"/>
  <c r="CI50" i="8"/>
  <c r="CJ61" i="8"/>
  <c r="CJ31" i="8"/>
  <c r="CL57" i="8"/>
  <c r="CL55" i="8"/>
  <c r="CL53" i="8"/>
  <c r="CL51" i="8"/>
  <c r="CL49" i="8"/>
  <c r="BW40" i="8"/>
  <c r="BE40" i="8"/>
  <c r="CC37" i="8"/>
  <c r="BW37" i="8"/>
  <c r="BQ37" i="8"/>
  <c r="BK37" i="8"/>
  <c r="BE37" i="8"/>
  <c r="AY37" i="8"/>
  <c r="CH11" i="8"/>
  <c r="BT24" i="8"/>
  <c r="BH22" i="8"/>
  <c r="BZ17" i="8"/>
  <c r="BB17" i="8"/>
  <c r="CC17" i="8"/>
  <c r="BQ17" i="8"/>
  <c r="BE17" i="8"/>
  <c r="BW16" i="8"/>
  <c r="BB24" i="8"/>
  <c r="BT17" i="8"/>
  <c r="BH15" i="8"/>
  <c r="AZ38" i="8"/>
  <c r="AZ61" i="8" s="1"/>
  <c r="CI38" i="8"/>
  <c r="CI23" i="8"/>
  <c r="BW21" i="8"/>
  <c r="BK21" i="8"/>
  <c r="AY21" i="8"/>
  <c r="BZ16" i="8"/>
  <c r="BQ16" i="8"/>
  <c r="BK16" i="8"/>
  <c r="BE16" i="8"/>
  <c r="CC15" i="8"/>
  <c r="BQ15" i="8"/>
  <c r="BE15" i="8"/>
  <c r="BY11" i="8"/>
  <c r="F28" i="20"/>
  <c r="BG11" i="8"/>
  <c r="BM11" i="8"/>
  <c r="I30" i="3"/>
  <c r="AG61" i="8"/>
  <c r="AG63" i="8" s="1"/>
  <c r="W61" i="8"/>
  <c r="W63" i="8" s="1"/>
  <c r="O61" i="8"/>
  <c r="BY29" i="7"/>
  <c r="BZ29" i="7" s="1"/>
  <c r="BG29" i="7"/>
  <c r="BH29" i="7" s="1"/>
  <c r="CB29" i="7"/>
  <c r="CC29" i="7" s="1"/>
  <c r="BV29" i="7"/>
  <c r="BW29" i="7" s="1"/>
  <c r="CL18" i="8"/>
  <c r="CN11" i="8"/>
  <c r="CT11" i="8"/>
  <c r="CO57" i="8"/>
  <c r="CU57" i="8"/>
  <c r="CR56" i="8"/>
  <c r="CX56" i="8"/>
  <c r="CO55" i="8"/>
  <c r="CU55" i="8"/>
  <c r="CR50" i="8"/>
  <c r="CX50" i="8"/>
  <c r="CO49" i="8"/>
  <c r="CU49" i="8"/>
  <c r="CO44" i="8"/>
  <c r="CU44" i="8"/>
  <c r="CO40" i="8"/>
  <c r="CU40" i="8"/>
  <c r="CO39" i="8"/>
  <c r="CU39" i="8"/>
  <c r="CO38" i="8"/>
  <c r="CU38" i="8"/>
  <c r="CO37" i="8"/>
  <c r="CU37" i="8"/>
  <c r="CO20" i="8"/>
  <c r="CU20" i="8"/>
  <c r="CO19" i="8"/>
  <c r="CU19" i="8"/>
  <c r="CO18" i="8"/>
  <c r="CU18" i="8"/>
  <c r="CF11" i="7"/>
  <c r="BT11" i="7"/>
  <c r="BH11" i="7"/>
  <c r="CK11" i="8"/>
  <c r="CL10" i="8"/>
  <c r="CW50" i="7"/>
  <c r="CX50" i="7" s="1"/>
  <c r="CT50" i="7"/>
  <c r="CU50" i="7" s="1"/>
  <c r="CQ50" i="7"/>
  <c r="CR50" i="7" s="1"/>
  <c r="CN50" i="7"/>
  <c r="CO50" i="7" s="1"/>
  <c r="CK50" i="7"/>
  <c r="CL50" i="7" s="1"/>
  <c r="S25" i="3"/>
  <c r="CE29" i="7"/>
  <c r="CF29" i="7" s="1"/>
  <c r="CH29" i="7"/>
  <c r="CP61" i="8"/>
  <c r="CR36" i="8"/>
  <c r="CV61" i="8"/>
  <c r="CX36" i="8"/>
  <c r="CO14" i="8"/>
  <c r="CM31" i="8"/>
  <c r="CU14" i="8"/>
  <c r="CS31" i="8"/>
  <c r="CQ31" i="8"/>
  <c r="CW31" i="8"/>
  <c r="CR54" i="8"/>
  <c r="CX54" i="8"/>
  <c r="CO53" i="8"/>
  <c r="CU53" i="8"/>
  <c r="CR52" i="8"/>
  <c r="CX52" i="8"/>
  <c r="CO51" i="8"/>
  <c r="CU51" i="8"/>
  <c r="CR48" i="8"/>
  <c r="CX48" i="8"/>
  <c r="U27" i="3"/>
  <c r="CO24" i="8"/>
  <c r="CU24" i="8"/>
  <c r="CO23" i="8"/>
  <c r="CU23" i="8"/>
  <c r="CO22" i="8"/>
  <c r="CU22" i="8"/>
  <c r="CO21" i="8"/>
  <c r="CU21" i="8"/>
  <c r="CO17" i="8"/>
  <c r="CU17" i="8"/>
  <c r="CO16" i="8"/>
  <c r="CU16" i="8"/>
  <c r="CO15" i="8"/>
  <c r="CU15" i="8"/>
  <c r="T8" i="3"/>
  <c r="CO9" i="8"/>
  <c r="CU9" i="8"/>
  <c r="CR8" i="8"/>
  <c r="CX8" i="8"/>
  <c r="CO7" i="8"/>
  <c r="CU7" i="8"/>
  <c r="CL7" i="8"/>
  <c r="CR6" i="8"/>
  <c r="CX6" i="8"/>
  <c r="R25" i="3"/>
  <c r="N26" i="3"/>
  <c r="S63" i="8"/>
  <c r="L26" i="3"/>
  <c r="O63" i="8"/>
  <c r="J26" i="3"/>
  <c r="CM61" i="8"/>
  <c r="CO36" i="8"/>
  <c r="CS61" i="8"/>
  <c r="CU36" i="8"/>
  <c r="CR14" i="8"/>
  <c r="CP31" i="8"/>
  <c r="CX14" i="8"/>
  <c r="CV31" i="8"/>
  <c r="CN31" i="8"/>
  <c r="CT31" i="8"/>
  <c r="U8" i="3"/>
  <c r="CO54" i="8"/>
  <c r="CU54" i="8"/>
  <c r="CR53" i="8"/>
  <c r="CX53" i="8"/>
  <c r="CO52" i="8"/>
  <c r="CU52" i="8"/>
  <c r="CR51" i="8"/>
  <c r="CX51" i="8"/>
  <c r="CO48" i="8"/>
  <c r="CU48" i="8"/>
  <c r="CR24" i="8"/>
  <c r="CX24" i="8"/>
  <c r="CL24" i="8"/>
  <c r="CR23" i="8"/>
  <c r="CX23" i="8"/>
  <c r="CL23" i="8"/>
  <c r="CR22" i="8"/>
  <c r="CX22" i="8"/>
  <c r="CL22" i="8"/>
  <c r="CR21" i="8"/>
  <c r="CX21" i="8"/>
  <c r="CR17" i="8"/>
  <c r="CX17" i="8"/>
  <c r="CL17" i="8"/>
  <c r="CR16" i="8"/>
  <c r="CX16" i="8"/>
  <c r="CL16" i="8"/>
  <c r="CR15" i="8"/>
  <c r="CX15" i="8"/>
  <c r="CL15" i="8"/>
  <c r="CR9" i="8"/>
  <c r="CX9" i="8"/>
  <c r="CO8" i="8"/>
  <c r="CU8" i="8"/>
  <c r="CL8" i="8"/>
  <c r="CR7" i="8"/>
  <c r="CX7" i="8"/>
  <c r="CO6" i="8"/>
  <c r="CU6" i="8"/>
  <c r="CQ33" i="8"/>
  <c r="CO10" i="8"/>
  <c r="CM11" i="8"/>
  <c r="CU10" i="8"/>
  <c r="CS11" i="8"/>
  <c r="CN33" i="8"/>
  <c r="CT33" i="8"/>
  <c r="CR10" i="8"/>
  <c r="CP11" i="8"/>
  <c r="CX10" i="8"/>
  <c r="CV11" i="8"/>
  <c r="CH29" i="8"/>
  <c r="CI29" i="8" s="1"/>
  <c r="CL29" i="8"/>
  <c r="AA61" i="8"/>
  <c r="CE28" i="8"/>
  <c r="CF28" i="8" s="1"/>
  <c r="CL6" i="8"/>
  <c r="CJ11" i="8"/>
  <c r="AA63" i="8"/>
  <c r="D33" i="8"/>
  <c r="AX31" i="8"/>
  <c r="I34" i="7"/>
  <c r="AW58" i="7"/>
  <c r="AW60" i="7" s="1"/>
  <c r="CH50" i="7"/>
  <c r="CI50" i="7" s="1"/>
  <c r="C33" i="8"/>
  <c r="P9" i="2"/>
  <c r="P8" i="2" s="1"/>
  <c r="CA31" i="8"/>
  <c r="H9" i="2"/>
  <c r="H8" i="2" s="1"/>
  <c r="BC31" i="8"/>
  <c r="U9" i="2"/>
  <c r="U8" i="2" s="1"/>
  <c r="L9" i="2"/>
  <c r="L8" i="2" s="1"/>
  <c r="BO31" i="8"/>
  <c r="R9" i="2"/>
  <c r="R8" i="2" s="1"/>
  <c r="CG31" i="8"/>
  <c r="N9" i="2"/>
  <c r="N8" i="2" s="1"/>
  <c r="BU31" i="8"/>
  <c r="J9" i="2"/>
  <c r="J8" i="2" s="1"/>
  <c r="BI31" i="8"/>
  <c r="F9" i="2"/>
  <c r="F8" i="2" s="1"/>
  <c r="AW31" i="8"/>
  <c r="Q9" i="2"/>
  <c r="Q8" i="2" s="1"/>
  <c r="CD31" i="8"/>
  <c r="O9" i="2"/>
  <c r="O8" i="2" s="1"/>
  <c r="BX31" i="8"/>
  <c r="M9" i="2"/>
  <c r="M8" i="2" s="1"/>
  <c r="BR31" i="8"/>
  <c r="K9" i="2"/>
  <c r="K8" i="2" s="1"/>
  <c r="BL31" i="8"/>
  <c r="I9" i="2"/>
  <c r="I8" i="2" s="1"/>
  <c r="BF31" i="8"/>
  <c r="G9" i="2"/>
  <c r="G8" i="2" s="1"/>
  <c r="AZ31" i="8"/>
  <c r="BD28" i="8"/>
  <c r="BE28" i="8" s="1"/>
  <c r="F27" i="3"/>
  <c r="BN24" i="8"/>
  <c r="R8" i="3"/>
  <c r="CB28" i="8"/>
  <c r="CC28" i="8" s="1"/>
  <c r="BJ28" i="8"/>
  <c r="BK28" i="8" s="1"/>
  <c r="F28" i="8"/>
  <c r="S8" i="3"/>
  <c r="BG28" i="8"/>
  <c r="BH28" i="8" s="1"/>
  <c r="BV28" i="8"/>
  <c r="BW28" i="8" s="1"/>
  <c r="BS28" i="8"/>
  <c r="BT28" i="8" s="1"/>
  <c r="BP28" i="8"/>
  <c r="BQ28" i="8" s="1"/>
  <c r="CH28" i="8"/>
  <c r="BY28" i="8"/>
  <c r="BZ28" i="8" s="1"/>
  <c r="BM28" i="8"/>
  <c r="BN28" i="8" s="1"/>
  <c r="F8" i="3"/>
  <c r="CF28" i="7"/>
  <c r="Q8" i="3"/>
  <c r="P8" i="3"/>
  <c r="O8" i="3"/>
  <c r="N8" i="3"/>
  <c r="M8" i="3"/>
  <c r="L8" i="3"/>
  <c r="K8" i="3"/>
  <c r="J8" i="3"/>
  <c r="I8" i="3"/>
  <c r="H8" i="3"/>
  <c r="G8" i="3"/>
  <c r="H61" i="1" s="1"/>
  <c r="Y28" i="20"/>
  <c r="CE50" i="7"/>
  <c r="CF50" i="7" s="1"/>
  <c r="CB50" i="7"/>
  <c r="CC50" i="7" s="1"/>
  <c r="AF50" i="8"/>
  <c r="BM29" i="8"/>
  <c r="BN29" i="8" s="1"/>
  <c r="BV29" i="8"/>
  <c r="BW29" i="8" s="1"/>
  <c r="W28" i="20"/>
  <c r="CC23" i="8"/>
  <c r="E61" i="8"/>
  <c r="BZ21" i="8"/>
  <c r="BT21" i="8"/>
  <c r="BN21" i="8"/>
  <c r="BH21" i="8"/>
  <c r="BB21" i="8"/>
  <c r="BB16" i="8"/>
  <c r="Y33" i="8"/>
  <c r="AC12" i="8"/>
  <c r="M12" i="8"/>
  <c r="K61" i="8"/>
  <c r="K63" i="8" s="1"/>
  <c r="N10" i="20"/>
  <c r="L10" i="20"/>
  <c r="J61" i="8"/>
  <c r="J63" i="8" s="1"/>
  <c r="H10" i="20"/>
  <c r="H28" i="20" s="1"/>
  <c r="AE63" i="8"/>
  <c r="AC33" i="8"/>
  <c r="U33" i="8"/>
  <c r="M33" i="8"/>
  <c r="M61" i="8"/>
  <c r="M63" i="8" s="1"/>
  <c r="K10" i="20"/>
  <c r="K28" i="20" s="1"/>
  <c r="G61" i="8"/>
  <c r="G63" i="8" s="1"/>
  <c r="E10" i="20"/>
  <c r="E28" i="20" s="1"/>
  <c r="H63" i="8"/>
  <c r="F39" i="3" s="1"/>
  <c r="AC61" i="8"/>
  <c r="AC63" i="8" s="1"/>
  <c r="Y61" i="8"/>
  <c r="Y63" i="8" s="1"/>
  <c r="U61" i="8"/>
  <c r="U63" i="8" s="1"/>
  <c r="Q61" i="8"/>
  <c r="Q63" i="8" s="1"/>
  <c r="CC44" i="8"/>
  <c r="BQ44" i="8"/>
  <c r="BE23" i="8"/>
  <c r="BQ22" i="8"/>
  <c r="BZ38" i="8"/>
  <c r="BB44" i="8"/>
  <c r="BQ24" i="8"/>
  <c r="BQ23" i="8"/>
  <c r="AY23" i="8"/>
  <c r="CC22" i="8"/>
  <c r="BE22" i="8"/>
  <c r="E12" i="8"/>
  <c r="U12" i="8"/>
  <c r="BQ39" i="8"/>
  <c r="BN22" i="8"/>
  <c r="AV31" i="7"/>
  <c r="AG33" i="8"/>
  <c r="Q33" i="8"/>
  <c r="I33" i="8"/>
  <c r="BZ44" i="8"/>
  <c r="CC39" i="8"/>
  <c r="BE39" i="8"/>
  <c r="BN38" i="8"/>
  <c r="BZ24" i="8"/>
  <c r="BE24" i="8"/>
  <c r="BW23" i="8"/>
  <c r="BK23" i="8"/>
  <c r="G12" i="8"/>
  <c r="BH40" i="8"/>
  <c r="BZ15" i="8"/>
  <c r="G32" i="8"/>
  <c r="AY58" i="7"/>
  <c r="I12" i="8"/>
  <c r="BK44" i="8"/>
  <c r="BN44" i="8"/>
  <c r="CC40" i="8"/>
  <c r="BW39" i="8"/>
  <c r="BK39" i="8"/>
  <c r="AY39" i="8"/>
  <c r="BT38" i="8"/>
  <c r="BH38" i="8"/>
  <c r="BB40" i="8"/>
  <c r="C63" i="8"/>
  <c r="AG12" i="8"/>
  <c r="Y12" i="8"/>
  <c r="Q12" i="8"/>
  <c r="G33" i="8"/>
  <c r="C12" i="8"/>
  <c r="BW44" i="8"/>
  <c r="AY44" i="8"/>
  <c r="BT44" i="8"/>
  <c r="BH44" i="8"/>
  <c r="BQ40" i="8"/>
  <c r="BZ39" i="8"/>
  <c r="BT39" i="8"/>
  <c r="BN39" i="8"/>
  <c r="BH39" i="8"/>
  <c r="BB39" i="8"/>
  <c r="CC38" i="8"/>
  <c r="BW38" i="8"/>
  <c r="BQ38" i="8"/>
  <c r="BK38" i="8"/>
  <c r="CC24" i="8"/>
  <c r="BW24" i="8"/>
  <c r="BK24" i="8"/>
  <c r="AY24" i="8"/>
  <c r="BZ23" i="8"/>
  <c r="BT23" i="8"/>
  <c r="BN23" i="8"/>
  <c r="BH23" i="8"/>
  <c r="BB23" i="8"/>
  <c r="BW22" i="8"/>
  <c r="BK22" i="8"/>
  <c r="AY22" i="8"/>
  <c r="E31" i="8"/>
  <c r="E33" i="8" s="1"/>
  <c r="BT40" i="8"/>
  <c r="BZ22" i="8"/>
  <c r="BB22" i="8"/>
  <c r="BN15" i="8"/>
  <c r="J33" i="8"/>
  <c r="I34" i="8" s="1"/>
  <c r="H9" i="20"/>
  <c r="BB38" i="8"/>
  <c r="BI11" i="8"/>
  <c r="BZ40" i="8"/>
  <c r="BN40" i="8"/>
  <c r="AY38" i="8"/>
  <c r="F33" i="2"/>
  <c r="H33" i="8"/>
  <c r="F9" i="20"/>
  <c r="G62" i="8"/>
  <c r="AC6" i="20"/>
  <c r="AC11" i="20" s="1"/>
  <c r="AC26" i="20"/>
  <c r="AA6" i="20"/>
  <c r="AA11" i="20" s="1"/>
  <c r="AA26" i="20"/>
  <c r="Y26" i="20"/>
  <c r="Y6" i="20"/>
  <c r="Y11" i="20" s="1"/>
  <c r="W6" i="20"/>
  <c r="W11" i="20" s="1"/>
  <c r="W26" i="20"/>
  <c r="U26" i="20"/>
  <c r="U6" i="20"/>
  <c r="U11" i="20" s="1"/>
  <c r="S26" i="20"/>
  <c r="S6" i="20"/>
  <c r="S11" i="20" s="1"/>
  <c r="Q6" i="20"/>
  <c r="Q11" i="20" s="1"/>
  <c r="Q26" i="20"/>
  <c r="O26" i="20"/>
  <c r="O6" i="20"/>
  <c r="O11" i="20" s="1"/>
  <c r="M6" i="20"/>
  <c r="M11" i="20" s="1"/>
  <c r="M26" i="20"/>
  <c r="K26" i="20"/>
  <c r="I26" i="20"/>
  <c r="G26" i="20"/>
  <c r="G6" i="20"/>
  <c r="G11" i="20" s="1"/>
  <c r="BE38" i="8"/>
  <c r="H33" i="2"/>
  <c r="H30" i="2" s="1"/>
  <c r="C32" i="8"/>
  <c r="D135" i="13"/>
  <c r="D134" i="13"/>
  <c r="D133" i="13"/>
  <c r="D132" i="13"/>
  <c r="D131" i="13"/>
  <c r="D130" i="13"/>
  <c r="D129" i="13"/>
  <c r="D128" i="13"/>
  <c r="D127" i="13"/>
  <c r="D126" i="13"/>
  <c r="D125" i="13"/>
  <c r="T136" i="13"/>
  <c r="Y147" i="13" s="1"/>
  <c r="T160" i="13"/>
  <c r="T148" i="13"/>
  <c r="Y159" i="13" s="1"/>
  <c r="D135" i="19"/>
  <c r="D134" i="19"/>
  <c r="D133" i="19"/>
  <c r="D132" i="19"/>
  <c r="D131" i="19"/>
  <c r="D130" i="19"/>
  <c r="D129" i="19"/>
  <c r="D128" i="19"/>
  <c r="D127" i="19"/>
  <c r="D126" i="19"/>
  <c r="D125" i="19"/>
  <c r="D135" i="18"/>
  <c r="D134" i="18"/>
  <c r="D133" i="18"/>
  <c r="D132" i="18"/>
  <c r="D131" i="18"/>
  <c r="D130" i="18"/>
  <c r="D129" i="18"/>
  <c r="D128" i="18"/>
  <c r="D127" i="18"/>
  <c r="D126" i="18"/>
  <c r="D125" i="18"/>
  <c r="D135" i="17"/>
  <c r="D134" i="17"/>
  <c r="D133" i="17"/>
  <c r="D132" i="17"/>
  <c r="D131" i="17"/>
  <c r="D130" i="17"/>
  <c r="D129" i="17"/>
  <c r="D128" i="17"/>
  <c r="D127" i="17"/>
  <c r="D126" i="17"/>
  <c r="D125" i="17"/>
  <c r="D135" i="16"/>
  <c r="D134" i="16"/>
  <c r="D133" i="16"/>
  <c r="D132" i="16"/>
  <c r="D131" i="16"/>
  <c r="D130" i="16"/>
  <c r="D129" i="16"/>
  <c r="D128" i="16"/>
  <c r="D127" i="16"/>
  <c r="D126" i="16"/>
  <c r="D125" i="16"/>
  <c r="D135" i="15"/>
  <c r="D134" i="15"/>
  <c r="D133" i="15"/>
  <c r="D132" i="15"/>
  <c r="D131" i="15"/>
  <c r="D130" i="15"/>
  <c r="D129" i="15"/>
  <c r="D128" i="15"/>
  <c r="D127" i="15"/>
  <c r="D126" i="15"/>
  <c r="D125" i="15"/>
  <c r="D135" i="14"/>
  <c r="D134" i="14"/>
  <c r="D133" i="14"/>
  <c r="D132" i="14"/>
  <c r="D131" i="14"/>
  <c r="D130" i="14"/>
  <c r="D129" i="14"/>
  <c r="D128" i="14"/>
  <c r="D127" i="14"/>
  <c r="D126" i="14"/>
  <c r="D125" i="14"/>
  <c r="D135" i="12"/>
  <c r="D134" i="12"/>
  <c r="D133" i="12"/>
  <c r="D132" i="12"/>
  <c r="D131" i="12"/>
  <c r="D130" i="12"/>
  <c r="D129" i="12"/>
  <c r="D128" i="12"/>
  <c r="D127" i="12"/>
  <c r="D126" i="12"/>
  <c r="D125" i="12"/>
  <c r="D135" i="11"/>
  <c r="D134" i="11"/>
  <c r="D133" i="11"/>
  <c r="D132" i="11"/>
  <c r="D131" i="11"/>
  <c r="D130" i="11"/>
  <c r="D129" i="11"/>
  <c r="D128" i="11"/>
  <c r="D127" i="11"/>
  <c r="D126" i="11"/>
  <c r="D125" i="11"/>
  <c r="D135" i="10"/>
  <c r="D134" i="10"/>
  <c r="D133" i="10"/>
  <c r="D132" i="10"/>
  <c r="D131" i="10"/>
  <c r="D130" i="10"/>
  <c r="D129" i="10"/>
  <c r="D128" i="10"/>
  <c r="D127" i="10"/>
  <c r="D126" i="10"/>
  <c r="D125" i="10"/>
  <c r="CG61" i="8"/>
  <c r="CI36" i="8"/>
  <c r="CA61" i="8"/>
  <c r="CC36" i="8"/>
  <c r="BU61" i="8"/>
  <c r="BW36" i="8"/>
  <c r="BO61" i="8"/>
  <c r="BQ36" i="8"/>
  <c r="BI61" i="8"/>
  <c r="BK36" i="8"/>
  <c r="BC61" i="8"/>
  <c r="BE36" i="8"/>
  <c r="AW61" i="8"/>
  <c r="AY36" i="8"/>
  <c r="CF14" i="8"/>
  <c r="S9" i="2" s="1"/>
  <c r="BZ14" i="8"/>
  <c r="BT14" i="8"/>
  <c r="BN14" i="8"/>
  <c r="BH14" i="8"/>
  <c r="BB14" i="8"/>
  <c r="BB31" i="8" s="1"/>
  <c r="CA11" i="8"/>
  <c r="CC6" i="8"/>
  <c r="CC11" i="8" s="1"/>
  <c r="BO11" i="8"/>
  <c r="BQ6" i="8"/>
  <c r="BQ11" i="8" s="1"/>
  <c r="BC11" i="8"/>
  <c r="BE6" i="8"/>
  <c r="BE11" i="8" s="1"/>
  <c r="AE33" i="8"/>
  <c r="AE12" i="8"/>
  <c r="BX11" i="8"/>
  <c r="BZ6" i="8"/>
  <c r="BZ11" i="8" s="1"/>
  <c r="W33" i="8"/>
  <c r="W12" i="8"/>
  <c r="BL11" i="8"/>
  <c r="BN6" i="8"/>
  <c r="BN11" i="8" s="1"/>
  <c r="O33" i="8"/>
  <c r="O12" i="8"/>
  <c r="AZ11" i="8"/>
  <c r="BB6" i="8"/>
  <c r="BB11" i="8" s="1"/>
  <c r="I32" i="8"/>
  <c r="BB36" i="8"/>
  <c r="D63" i="8"/>
  <c r="D64" i="8" s="1"/>
  <c r="AZ58" i="7"/>
  <c r="CD61" i="8"/>
  <c r="CF36" i="8"/>
  <c r="S31" i="2" s="1"/>
  <c r="BX61" i="8"/>
  <c r="BZ36" i="8"/>
  <c r="BR61" i="8"/>
  <c r="BT36" i="8"/>
  <c r="BL61" i="8"/>
  <c r="BN36" i="8"/>
  <c r="BF61" i="8"/>
  <c r="BH36" i="8"/>
  <c r="CI14" i="8"/>
  <c r="CC14" i="8"/>
  <c r="BW14" i="8"/>
  <c r="BQ14" i="8"/>
  <c r="BK14" i="8"/>
  <c r="BE14" i="8"/>
  <c r="AY14" i="8"/>
  <c r="CD11" i="8"/>
  <c r="CF6" i="8"/>
  <c r="CF11" i="8" s="1"/>
  <c r="AA33" i="8"/>
  <c r="AA12" i="8"/>
  <c r="BR11" i="8"/>
  <c r="BT6" i="8"/>
  <c r="BT11" i="8" s="1"/>
  <c r="S33" i="8"/>
  <c r="S12" i="8"/>
  <c r="BF11" i="8"/>
  <c r="BH6" i="8"/>
  <c r="BH11" i="8" s="1"/>
  <c r="K33" i="8"/>
  <c r="K12" i="8"/>
  <c r="CI6" i="8"/>
  <c r="CI11" i="8" s="1"/>
  <c r="BW6" i="8"/>
  <c r="BW11" i="8" s="1"/>
  <c r="BK6" i="8"/>
  <c r="BK11" i="8" s="1"/>
  <c r="AY6" i="8"/>
  <c r="AY11" i="8" s="1"/>
  <c r="M60" i="7"/>
  <c r="S30" i="2" l="1"/>
  <c r="AW63" i="8"/>
  <c r="BP29" i="8"/>
  <c r="BQ29" i="8" s="1"/>
  <c r="M24" i="20"/>
  <c r="Q24" i="20"/>
  <c r="CE29" i="8"/>
  <c r="CF29" i="8" s="1"/>
  <c r="Q40" i="2"/>
  <c r="C34" i="8"/>
  <c r="S8" i="2"/>
  <c r="S40" i="2" s="1"/>
  <c r="K6" i="20"/>
  <c r="K11" i="20" s="1"/>
  <c r="Y24" i="20"/>
  <c r="G33" i="2"/>
  <c r="G30" i="2" s="1"/>
  <c r="BY29" i="8"/>
  <c r="BZ29" i="8" s="1"/>
  <c r="BS29" i="8"/>
  <c r="BT29" i="8" s="1"/>
  <c r="CB29" i="8"/>
  <c r="CC29" i="8" s="1"/>
  <c r="S24" i="20"/>
  <c r="E6" i="20"/>
  <c r="E11" i="20" s="1"/>
  <c r="CR31" i="8"/>
  <c r="U57" i="1"/>
  <c r="C32" i="30"/>
  <c r="H64" i="8"/>
  <c r="G24" i="20"/>
  <c r="G34" i="8"/>
  <c r="I62" i="8"/>
  <c r="R30" i="2"/>
  <c r="D26" i="3"/>
  <c r="T30" i="2"/>
  <c r="T40" i="2" s="1"/>
  <c r="U24" i="20"/>
  <c r="CX31" i="8"/>
  <c r="CL11" i="8"/>
  <c r="CX11" i="8"/>
  <c r="CX33" i="8" s="1"/>
  <c r="CR11" i="8"/>
  <c r="CO11" i="8"/>
  <c r="CU11" i="8"/>
  <c r="U37" i="3"/>
  <c r="U46" i="3" s="1"/>
  <c r="CU31" i="8"/>
  <c r="CU33" i="8" s="1"/>
  <c r="CO31" i="8"/>
  <c r="CV33" i="8"/>
  <c r="CV63" i="8"/>
  <c r="CP33" i="8"/>
  <c r="CP63" i="8"/>
  <c r="CS33" i="8"/>
  <c r="CS63" i="8"/>
  <c r="CM33" i="8"/>
  <c r="CM63" i="8"/>
  <c r="AC24" i="20"/>
  <c r="CJ63" i="8"/>
  <c r="CJ33" i="8"/>
  <c r="CL28" i="8"/>
  <c r="CK31" i="8"/>
  <c r="CI29" i="7"/>
  <c r="E63" i="8"/>
  <c r="I6" i="20"/>
  <c r="I11" i="20" s="1"/>
  <c r="I24" i="20" s="1"/>
  <c r="CI28" i="8"/>
  <c r="AY61" i="8"/>
  <c r="CE50" i="8"/>
  <c r="CF50" i="8" s="1"/>
  <c r="CB50" i="8"/>
  <c r="CC50" i="8" s="1"/>
  <c r="AA24" i="20"/>
  <c r="AY31" i="8"/>
  <c r="AY33" i="8" s="1"/>
  <c r="K24" i="20"/>
  <c r="E24" i="20"/>
  <c r="W24" i="20"/>
  <c r="O24" i="20"/>
  <c r="J64" i="8"/>
  <c r="G39" i="3"/>
  <c r="F6" i="20"/>
  <c r="F11" i="20" s="1"/>
  <c r="F24" i="20" s="1"/>
  <c r="F26" i="20"/>
  <c r="H26" i="20"/>
  <c r="H6" i="20"/>
  <c r="H11" i="20" s="1"/>
  <c r="H24" i="20" s="1"/>
  <c r="Y171" i="13"/>
  <c r="T172" i="13"/>
  <c r="BF63" i="8"/>
  <c r="BF33" i="8"/>
  <c r="CD63" i="8"/>
  <c r="CD33" i="8"/>
  <c r="BR63" i="8"/>
  <c r="BR33" i="8"/>
  <c r="BB33" i="8"/>
  <c r="BL63" i="8"/>
  <c r="BL33" i="8"/>
  <c r="BC63" i="8"/>
  <c r="BC33" i="8"/>
  <c r="BO63" i="8"/>
  <c r="BO33" i="8"/>
  <c r="CA63" i="8"/>
  <c r="CA33" i="8"/>
  <c r="AW33" i="8"/>
  <c r="BI33" i="8"/>
  <c r="BI63" i="8"/>
  <c r="BU33" i="8"/>
  <c r="BU63" i="8"/>
  <c r="CG33" i="8"/>
  <c r="CG63" i="8"/>
  <c r="AZ63" i="8"/>
  <c r="AZ33" i="8"/>
  <c r="BX63" i="8"/>
  <c r="BX33" i="8"/>
  <c r="CR33" i="8" l="1"/>
  <c r="V57" i="1"/>
  <c r="C33" i="30"/>
  <c r="CO33" i="8"/>
  <c r="CK33" i="8"/>
  <c r="CL31" i="8"/>
  <c r="AX33" i="8"/>
  <c r="AX63" i="8"/>
  <c r="AY63" i="8" s="1"/>
  <c r="AY64" i="8"/>
  <c r="CL33" i="8" l="1"/>
  <c r="M17" i="1"/>
  <c r="H17" i="1"/>
  <c r="D19" i="30" s="1"/>
  <c r="G17" i="1"/>
  <c r="Z100" i="6"/>
  <c r="Y100" i="6"/>
  <c r="X100" i="6"/>
  <c r="W100" i="6"/>
  <c r="V100" i="6"/>
  <c r="U100" i="6"/>
  <c r="T100" i="6"/>
  <c r="S100" i="6"/>
  <c r="R100" i="6"/>
  <c r="Q100" i="6"/>
  <c r="P100" i="6"/>
  <c r="F53" i="3" l="1"/>
  <c r="Q27" i="3"/>
  <c r="P27" i="3"/>
  <c r="O27" i="3"/>
  <c r="N27" i="3"/>
  <c r="M27" i="3"/>
  <c r="L27" i="3"/>
  <c r="K27" i="3"/>
  <c r="J27" i="3"/>
  <c r="I27" i="3"/>
  <c r="H27" i="3"/>
  <c r="G27" i="3"/>
  <c r="H62" i="1" s="1"/>
  <c r="Q25" i="3"/>
  <c r="P25" i="3"/>
  <c r="O25" i="3"/>
  <c r="N25" i="3"/>
  <c r="M25" i="3"/>
  <c r="L25" i="3"/>
  <c r="K25" i="3"/>
  <c r="J25" i="3"/>
  <c r="I25" i="3"/>
  <c r="H25" i="3"/>
  <c r="G25" i="3"/>
  <c r="F25" i="3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J37" i="3" l="1"/>
  <c r="L37" i="3"/>
  <c r="N37" i="3"/>
  <c r="P37" i="3"/>
  <c r="I37" i="3"/>
  <c r="K37" i="3"/>
  <c r="M37" i="3"/>
  <c r="O37" i="3"/>
  <c r="Q37" i="3"/>
  <c r="H37" i="3"/>
  <c r="G37" i="3"/>
  <c r="G46" i="3" s="1"/>
  <c r="F37" i="3"/>
  <c r="F46" i="3" s="1"/>
  <c r="F30" i="2" l="1"/>
  <c r="P26" i="2"/>
  <c r="P40" i="2" s="1"/>
  <c r="O26" i="2"/>
  <c r="O40" i="2" s="1"/>
  <c r="N26" i="2"/>
  <c r="N40" i="2" s="1"/>
  <c r="M26" i="2"/>
  <c r="M40" i="2" s="1"/>
  <c r="L26" i="2"/>
  <c r="L40" i="2" s="1"/>
  <c r="K26" i="2"/>
  <c r="K40" i="2" s="1"/>
  <c r="J26" i="2"/>
  <c r="J40" i="2" s="1"/>
  <c r="I26" i="2"/>
  <c r="I40" i="2" s="1"/>
  <c r="H26" i="2"/>
  <c r="H40" i="2" s="1"/>
  <c r="G26" i="2"/>
  <c r="G40" i="2" s="1"/>
  <c r="F26" i="2"/>
  <c r="G6" i="2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F40" i="2" l="1"/>
  <c r="W96" i="6"/>
  <c r="S96" i="6"/>
  <c r="Q96" i="6"/>
  <c r="N100" i="6"/>
  <c r="AA96" i="6"/>
  <c r="Z96" i="6"/>
  <c r="Y96" i="6"/>
  <c r="X96" i="6"/>
  <c r="V96" i="6"/>
  <c r="U96" i="6"/>
  <c r="T96" i="6"/>
  <c r="R96" i="6"/>
  <c r="P96" i="6"/>
  <c r="N87" i="6"/>
  <c r="AA83" i="6"/>
  <c r="Z83" i="6"/>
  <c r="Y83" i="6"/>
  <c r="X83" i="6"/>
  <c r="W83" i="6"/>
  <c r="V83" i="6"/>
  <c r="U83" i="6"/>
  <c r="T83" i="6"/>
  <c r="S83" i="6"/>
  <c r="R83" i="6"/>
  <c r="Q83" i="6"/>
  <c r="P83" i="6"/>
  <c r="N83" i="6"/>
  <c r="L83" i="6" s="1"/>
  <c r="N74" i="6"/>
  <c r="N70" i="6" s="1"/>
  <c r="L70" i="6" s="1"/>
  <c r="AA70" i="6"/>
  <c r="Z70" i="6"/>
  <c r="Y70" i="6"/>
  <c r="X70" i="6"/>
  <c r="W70" i="6"/>
  <c r="V70" i="6"/>
  <c r="U70" i="6"/>
  <c r="T70" i="6"/>
  <c r="S70" i="6"/>
  <c r="R70" i="6"/>
  <c r="Q70" i="6"/>
  <c r="P70" i="6"/>
  <c r="N67" i="6"/>
  <c r="N62" i="6"/>
  <c r="AA57" i="6"/>
  <c r="Z57" i="6"/>
  <c r="Y57" i="6"/>
  <c r="X57" i="6"/>
  <c r="W57" i="6"/>
  <c r="V57" i="6"/>
  <c r="U57" i="6"/>
  <c r="T57" i="6"/>
  <c r="S57" i="6"/>
  <c r="R57" i="6"/>
  <c r="Q57" i="6"/>
  <c r="P57" i="6"/>
  <c r="N48" i="6"/>
  <c r="N44" i="6" s="1"/>
  <c r="L44" i="6" s="1"/>
  <c r="AA44" i="6"/>
  <c r="Z44" i="6"/>
  <c r="Y44" i="6"/>
  <c r="X44" i="6"/>
  <c r="W44" i="6"/>
  <c r="V44" i="6"/>
  <c r="U44" i="6"/>
  <c r="T44" i="6"/>
  <c r="S44" i="6"/>
  <c r="R44" i="6"/>
  <c r="Q44" i="6"/>
  <c r="P44" i="6"/>
  <c r="N35" i="6"/>
  <c r="N31" i="6" s="1"/>
  <c r="L31" i="6" s="1"/>
  <c r="AA31" i="6"/>
  <c r="Z31" i="6"/>
  <c r="Y31" i="6"/>
  <c r="X31" i="6"/>
  <c r="W31" i="6"/>
  <c r="V31" i="6"/>
  <c r="U31" i="6"/>
  <c r="T31" i="6"/>
  <c r="S31" i="6"/>
  <c r="R31" i="6"/>
  <c r="Q31" i="6"/>
  <c r="P31" i="6"/>
  <c r="N28" i="6"/>
  <c r="L24" i="6"/>
  <c r="L102" i="6" s="1"/>
  <c r="N23" i="6"/>
  <c r="AA18" i="6"/>
  <c r="Z18" i="6"/>
  <c r="Y18" i="6"/>
  <c r="X18" i="6"/>
  <c r="W18" i="6"/>
  <c r="V18" i="6"/>
  <c r="U18" i="6"/>
  <c r="T18" i="6"/>
  <c r="S18" i="6"/>
  <c r="R18" i="6"/>
  <c r="Q18" i="6"/>
  <c r="P18" i="6"/>
  <c r="N18" i="6"/>
  <c r="N57" i="6" l="1"/>
  <c r="L57" i="6" s="1"/>
  <c r="L18" i="6"/>
  <c r="N96" i="6" l="1"/>
  <c r="L96" i="6" s="1"/>
  <c r="T136" i="4"/>
  <c r="S136" i="4"/>
  <c r="R136" i="4"/>
  <c r="P136" i="4"/>
  <c r="P132" i="4"/>
  <c r="N122" i="4"/>
  <c r="N118" i="4"/>
  <c r="N114" i="4" s="1"/>
  <c r="L114" i="4" s="1"/>
  <c r="T114" i="4"/>
  <c r="S114" i="4"/>
  <c r="R114" i="4"/>
  <c r="Q114" i="4"/>
  <c r="P114" i="4"/>
  <c r="N109" i="4"/>
  <c r="N105" i="4"/>
  <c r="T101" i="4"/>
  <c r="S101" i="4"/>
  <c r="R101" i="4"/>
  <c r="Q101" i="4"/>
  <c r="V107" i="4" s="1"/>
  <c r="P101" i="4"/>
  <c r="V105" i="4" s="1"/>
  <c r="N96" i="4"/>
  <c r="N92" i="4"/>
  <c r="N88" i="4" s="1"/>
  <c r="L88" i="4" s="1"/>
  <c r="T88" i="4"/>
  <c r="S88" i="4"/>
  <c r="R88" i="4"/>
  <c r="Q88" i="4"/>
  <c r="V94" i="4" s="1"/>
  <c r="P88" i="4"/>
  <c r="V92" i="4" s="1"/>
  <c r="N83" i="4"/>
  <c r="N79" i="4"/>
  <c r="T75" i="4"/>
  <c r="S75" i="4"/>
  <c r="R75" i="4"/>
  <c r="Q75" i="4"/>
  <c r="V81" i="4" s="1"/>
  <c r="P75" i="4"/>
  <c r="V79" i="4" s="1"/>
  <c r="N70" i="4"/>
  <c r="N66" i="4"/>
  <c r="N62" i="4" s="1"/>
  <c r="L62" i="4" s="1"/>
  <c r="T62" i="4"/>
  <c r="S62" i="4"/>
  <c r="V72" i="4" s="1"/>
  <c r="R62" i="4"/>
  <c r="V70" i="4" s="1"/>
  <c r="Q62" i="4"/>
  <c r="V68" i="4" s="1"/>
  <c r="P62" i="4"/>
  <c r="V66" i="4" s="1"/>
  <c r="N57" i="4"/>
  <c r="N53" i="4"/>
  <c r="N49" i="4"/>
  <c r="N45" i="4" s="1"/>
  <c r="L45" i="4" s="1"/>
  <c r="T45" i="4"/>
  <c r="T132" i="4" s="1"/>
  <c r="S45" i="4"/>
  <c r="S132" i="4" s="1"/>
  <c r="R45" i="4"/>
  <c r="R132" i="4" s="1"/>
  <c r="Q45" i="4"/>
  <c r="V51" i="4" s="1"/>
  <c r="P45" i="4"/>
  <c r="V49" i="4" s="1"/>
  <c r="N40" i="4"/>
  <c r="N36" i="4"/>
  <c r="N32" i="4" s="1"/>
  <c r="L32" i="4" s="1"/>
  <c r="T32" i="4"/>
  <c r="S32" i="4"/>
  <c r="V42" i="4" s="1"/>
  <c r="R32" i="4"/>
  <c r="V40" i="4" s="1"/>
  <c r="Q32" i="4"/>
  <c r="V38" i="4" s="1"/>
  <c r="P32" i="4"/>
  <c r="V36" i="4" s="1"/>
  <c r="N23" i="4"/>
  <c r="N19" i="4" s="1"/>
  <c r="L19" i="4" s="1"/>
  <c r="T19" i="4"/>
  <c r="S19" i="4"/>
  <c r="V29" i="4" s="1"/>
  <c r="R19" i="4"/>
  <c r="V27" i="4" s="1"/>
  <c r="Q19" i="4"/>
  <c r="V25" i="4" s="1"/>
  <c r="P19" i="4"/>
  <c r="V23" i="4" s="1"/>
  <c r="N101" i="4" l="1"/>
  <c r="L101" i="4" s="1"/>
  <c r="N75" i="4"/>
  <c r="L75" i="4" s="1"/>
  <c r="N136" i="4"/>
  <c r="U19" i="4"/>
  <c r="Q128" i="4"/>
  <c r="S128" i="4"/>
  <c r="V138" i="4" s="1"/>
  <c r="V118" i="4"/>
  <c r="P128" i="4"/>
  <c r="V132" i="4" s="1"/>
  <c r="U75" i="4"/>
  <c r="U88" i="4"/>
  <c r="U101" i="4"/>
  <c r="R128" i="4"/>
  <c r="T128" i="4"/>
  <c r="V120" i="4"/>
  <c r="V134" i="4"/>
  <c r="U32" i="4"/>
  <c r="U62" i="4"/>
  <c r="N132" i="4"/>
  <c r="N128" i="4" s="1"/>
  <c r="L128" i="4" s="1"/>
  <c r="V136" i="4"/>
  <c r="V55" i="4"/>
  <c r="V53" i="4"/>
  <c r="U45" i="4" s="1"/>
  <c r="U128" i="4" l="1"/>
  <c r="U114" i="4"/>
  <c r="C94" i="1"/>
  <c r="G49" i="3" l="1"/>
  <c r="G53" i="3" s="1"/>
  <c r="H49" i="3" l="1"/>
  <c r="I49" i="3"/>
  <c r="H51" i="3"/>
  <c r="I51" i="3" l="1"/>
  <c r="H53" i="3"/>
  <c r="J49" i="3" l="1"/>
  <c r="J51" i="3"/>
  <c r="I53" i="3"/>
  <c r="D30" i="1"/>
  <c r="C30" i="1"/>
  <c r="K49" i="3" l="1"/>
  <c r="J53" i="3"/>
  <c r="K51" i="3"/>
  <c r="N13" i="1"/>
  <c r="O13" i="1" s="1"/>
  <c r="P13" i="1" s="1"/>
  <c r="Q13" i="1" s="1"/>
  <c r="R13" i="1" s="1"/>
  <c r="N14" i="1"/>
  <c r="O14" i="1" s="1"/>
  <c r="P14" i="1" s="1"/>
  <c r="Q14" i="1" s="1"/>
  <c r="R14" i="1" s="1"/>
  <c r="I15" i="1"/>
  <c r="J15" i="1" s="1"/>
  <c r="K15" i="1" s="1"/>
  <c r="L15" i="1" s="1"/>
  <c r="M15" i="1" s="1"/>
  <c r="N15" i="1" s="1"/>
  <c r="O15" i="1" s="1"/>
  <c r="P15" i="1" s="1"/>
  <c r="Q15" i="1" s="1"/>
  <c r="R15" i="1" s="1"/>
  <c r="D48" i="1"/>
  <c r="C48" i="1"/>
  <c r="C46" i="1" s="1"/>
  <c r="D59" i="1"/>
  <c r="D57" i="1" s="1"/>
  <c r="D35" i="1" s="1"/>
  <c r="D32" i="1" s="1"/>
  <c r="C59" i="1"/>
  <c r="C57" i="1" s="1"/>
  <c r="C35" i="1" s="1"/>
  <c r="L49" i="3" l="1"/>
  <c r="K53" i="3"/>
  <c r="L51" i="3"/>
  <c r="D21" i="1"/>
  <c r="C21" i="1"/>
  <c r="D8" i="1"/>
  <c r="D7" i="1"/>
  <c r="C8" i="1"/>
  <c r="C7" i="1"/>
  <c r="D94" i="1" s="1"/>
  <c r="M49" i="3" l="1"/>
  <c r="L53" i="3"/>
  <c r="M51" i="3"/>
  <c r="D92" i="1"/>
  <c r="D93" i="1" s="1"/>
  <c r="E94" i="1"/>
  <c r="C75" i="1"/>
  <c r="C92" i="1"/>
  <c r="C93" i="1" s="1"/>
  <c r="D9" i="1"/>
  <c r="C9" i="1"/>
  <c r="O49" i="3" l="1"/>
  <c r="N49" i="3"/>
  <c r="N51" i="3"/>
  <c r="M53" i="3"/>
  <c r="C32" i="1"/>
  <c r="D46" i="1"/>
  <c r="D75" i="1" s="1"/>
  <c r="E8" i="1"/>
  <c r="E7" i="1"/>
  <c r="F94" i="1" l="1"/>
  <c r="F93" i="1" s="1"/>
  <c r="G94" i="1"/>
  <c r="O51" i="3"/>
  <c r="N53" i="3"/>
  <c r="R38" i="1"/>
  <c r="Q38" i="1"/>
  <c r="P38" i="1"/>
  <c r="O38" i="1"/>
  <c r="N38" i="1"/>
  <c r="M38" i="1"/>
  <c r="L38" i="1"/>
  <c r="H38" i="1"/>
  <c r="P49" i="3" l="1"/>
  <c r="P51" i="3"/>
  <c r="O53" i="3"/>
  <c r="J30" i="1"/>
  <c r="I30" i="1"/>
  <c r="G30" i="1"/>
  <c r="Q51" i="3" l="1"/>
  <c r="Q49" i="3"/>
  <c r="P53" i="3"/>
  <c r="G59" i="1"/>
  <c r="C18" i="30" s="1"/>
  <c r="H59" i="1"/>
  <c r="C19" i="30" s="1"/>
  <c r="C20" i="30"/>
  <c r="C21" i="30"/>
  <c r="C22" i="30"/>
  <c r="C23" i="30"/>
  <c r="C24" i="30"/>
  <c r="C25" i="30"/>
  <c r="C26" i="30"/>
  <c r="C27" i="30"/>
  <c r="C28" i="30"/>
  <c r="C29" i="30"/>
  <c r="Q53" i="3" l="1"/>
  <c r="U8" i="1"/>
  <c r="R51" i="3"/>
  <c r="R49" i="3"/>
  <c r="V8" i="1" l="1"/>
  <c r="R53" i="3"/>
  <c r="S51" i="3"/>
  <c r="AA12" i="1"/>
  <c r="AF78" i="1"/>
  <c r="AE78" i="1"/>
  <c r="AD78" i="1"/>
  <c r="AC78" i="1"/>
  <c r="AB78" i="1"/>
  <c r="AA78" i="1"/>
  <c r="T78" i="1"/>
  <c r="S78" i="1"/>
  <c r="R78" i="1"/>
  <c r="Q78" i="1"/>
  <c r="P78" i="1"/>
  <c r="O78" i="1"/>
  <c r="N78" i="1"/>
  <c r="M78" i="1"/>
  <c r="L78" i="1"/>
  <c r="H78" i="1"/>
  <c r="G78" i="1"/>
  <c r="S14" i="1"/>
  <c r="T14" i="1" s="1"/>
  <c r="S13" i="1"/>
  <c r="T13" i="1" s="1"/>
  <c r="S15" i="1"/>
  <c r="T15" i="1" s="1"/>
  <c r="T8" i="1"/>
  <c r="S8" i="1"/>
  <c r="R8" i="1"/>
  <c r="Q8" i="1"/>
  <c r="P8" i="1"/>
  <c r="O8" i="1"/>
  <c r="N8" i="1"/>
  <c r="M8" i="1"/>
  <c r="L8" i="1"/>
  <c r="K8" i="1"/>
  <c r="J8" i="1"/>
  <c r="I8" i="1"/>
  <c r="S7" i="1"/>
  <c r="R7" i="1"/>
  <c r="Q7" i="1"/>
  <c r="P7" i="1"/>
  <c r="O7" i="1"/>
  <c r="M7" i="1"/>
  <c r="L7" i="1"/>
  <c r="K7" i="1"/>
  <c r="E22" i="30" s="1"/>
  <c r="J7" i="1"/>
  <c r="I7" i="1"/>
  <c r="H7" i="1"/>
  <c r="E19" i="30" s="1"/>
  <c r="AF30" i="1"/>
  <c r="AE30" i="1"/>
  <c r="AD30" i="1"/>
  <c r="AC30" i="1"/>
  <c r="AB30" i="1"/>
  <c r="AA30" i="1"/>
  <c r="T30" i="1"/>
  <c r="S30" i="1"/>
  <c r="R30" i="1"/>
  <c r="Q30" i="1"/>
  <c r="P30" i="1"/>
  <c r="O30" i="1"/>
  <c r="N30" i="1"/>
  <c r="M30" i="1"/>
  <c r="L30" i="1"/>
  <c r="K30" i="1"/>
  <c r="G8" i="1"/>
  <c r="G7" i="1"/>
  <c r="E27" i="30" l="1"/>
  <c r="E26" i="30"/>
  <c r="G53" i="30" s="1"/>
  <c r="E28" i="30"/>
  <c r="E30" i="30"/>
  <c r="E29" i="30"/>
  <c r="H94" i="1"/>
  <c r="G58" i="3" s="1"/>
  <c r="E18" i="30"/>
  <c r="E23" i="30"/>
  <c r="G45" i="30" s="1"/>
  <c r="E24" i="30"/>
  <c r="G49" i="30"/>
  <c r="G57" i="30"/>
  <c r="G47" i="30"/>
  <c r="G55" i="30"/>
  <c r="E21" i="30"/>
  <c r="E20" i="30"/>
  <c r="G35" i="30"/>
  <c r="H58" i="3"/>
  <c r="I58" i="3"/>
  <c r="AA13" i="1"/>
  <c r="AB13" i="1" s="1"/>
  <c r="AC13" i="1" s="1"/>
  <c r="AD13" i="1" s="1"/>
  <c r="AE13" i="1" s="1"/>
  <c r="AF13" i="1" s="1"/>
  <c r="U13" i="1"/>
  <c r="V13" i="1" s="1"/>
  <c r="W13" i="1" s="1"/>
  <c r="X13" i="1" s="1"/>
  <c r="Y13" i="1" s="1"/>
  <c r="AA15" i="1"/>
  <c r="AB15" i="1" s="1"/>
  <c r="AC15" i="1" s="1"/>
  <c r="AD15" i="1" s="1"/>
  <c r="AE15" i="1" s="1"/>
  <c r="AF15" i="1" s="1"/>
  <c r="U15" i="1"/>
  <c r="V15" i="1" s="1"/>
  <c r="W15" i="1" s="1"/>
  <c r="X15" i="1" s="1"/>
  <c r="Y15" i="1" s="1"/>
  <c r="AA14" i="1"/>
  <c r="AB14" i="1" s="1"/>
  <c r="AC14" i="1" s="1"/>
  <c r="AD14" i="1" s="1"/>
  <c r="AE14" i="1" s="1"/>
  <c r="AF14" i="1" s="1"/>
  <c r="U14" i="1"/>
  <c r="V14" i="1" s="1"/>
  <c r="W14" i="1" s="1"/>
  <c r="X14" i="1" s="1"/>
  <c r="Y14" i="1" s="1"/>
  <c r="W8" i="1"/>
  <c r="AB12" i="1"/>
  <c r="AB8" i="1" s="1"/>
  <c r="AA8" i="1"/>
  <c r="F48" i="3"/>
  <c r="F41" i="2"/>
  <c r="F42" i="2" s="1"/>
  <c r="J41" i="2"/>
  <c r="J42" i="2" s="1"/>
  <c r="J48" i="3"/>
  <c r="L41" i="2"/>
  <c r="L42" i="2" s="1"/>
  <c r="L48" i="3"/>
  <c r="N41" i="2"/>
  <c r="N42" i="2" s="1"/>
  <c r="N48" i="3"/>
  <c r="K48" i="3"/>
  <c r="K41" i="2"/>
  <c r="K42" i="2" s="1"/>
  <c r="M48" i="3"/>
  <c r="M41" i="2"/>
  <c r="M42" i="2" s="1"/>
  <c r="Q48" i="3"/>
  <c r="Q41" i="2"/>
  <c r="R41" i="2"/>
  <c r="R48" i="3"/>
  <c r="P48" i="3"/>
  <c r="P41" i="2"/>
  <c r="P42" i="2" s="1"/>
  <c r="O48" i="3"/>
  <c r="O41" i="2"/>
  <c r="O42" i="2" s="1"/>
  <c r="I41" i="2"/>
  <c r="I42" i="2" s="1"/>
  <c r="I48" i="3"/>
  <c r="H41" i="2"/>
  <c r="H42" i="2" s="1"/>
  <c r="H48" i="3"/>
  <c r="G48" i="3"/>
  <c r="G41" i="2"/>
  <c r="G42" i="2" s="1"/>
  <c r="H92" i="1"/>
  <c r="G92" i="1"/>
  <c r="G93" i="1" s="1"/>
  <c r="G51" i="30" l="1"/>
  <c r="G43" i="30"/>
  <c r="G41" i="30"/>
  <c r="G39" i="30"/>
  <c r="G37" i="30"/>
  <c r="O58" i="3"/>
  <c r="M58" i="3"/>
  <c r="X8" i="1"/>
  <c r="AC12" i="1"/>
  <c r="K58" i="3"/>
  <c r="L58" i="3"/>
  <c r="S58" i="3"/>
  <c r="F57" i="3"/>
  <c r="F55" i="3"/>
  <c r="N58" i="3"/>
  <c r="Q58" i="3"/>
  <c r="P58" i="3"/>
  <c r="R58" i="3"/>
  <c r="G57" i="3"/>
  <c r="G55" i="3"/>
  <c r="J58" i="3"/>
  <c r="H93" i="1"/>
  <c r="S9" i="1"/>
  <c r="R9" i="1"/>
  <c r="Q9" i="1"/>
  <c r="P9" i="1"/>
  <c r="O9" i="1"/>
  <c r="N9" i="1"/>
  <c r="M9" i="1"/>
  <c r="L9" i="1"/>
  <c r="K9" i="1"/>
  <c r="J9" i="1"/>
  <c r="I9" i="1"/>
  <c r="G9" i="1"/>
  <c r="H53" i="1" s="1"/>
  <c r="S21" i="1"/>
  <c r="R21" i="1"/>
  <c r="Q21" i="1"/>
  <c r="P21" i="1"/>
  <c r="O21" i="1"/>
  <c r="N21" i="1"/>
  <c r="M21" i="1"/>
  <c r="L21" i="1"/>
  <c r="K21" i="1"/>
  <c r="J21" i="1"/>
  <c r="J22" i="1" s="1"/>
  <c r="J23" i="1" s="1"/>
  <c r="I21" i="1"/>
  <c r="I22" i="1" s="1"/>
  <c r="H21" i="1"/>
  <c r="G21" i="1"/>
  <c r="AF32" i="1"/>
  <c r="AE32" i="1"/>
  <c r="AD32" i="1"/>
  <c r="AC32" i="1"/>
  <c r="AB32" i="1"/>
  <c r="AA32" i="1"/>
  <c r="T32" i="1"/>
  <c r="S32" i="1"/>
  <c r="R32" i="1"/>
  <c r="Q32" i="1"/>
  <c r="P32" i="1"/>
  <c r="O32" i="1"/>
  <c r="N32" i="1"/>
  <c r="M32" i="1"/>
  <c r="L32" i="1"/>
  <c r="G40" i="1"/>
  <c r="G77" i="1" s="1"/>
  <c r="G79" i="1" s="1"/>
  <c r="E40" i="1"/>
  <c r="G48" i="1"/>
  <c r="E48" i="1"/>
  <c r="E46" i="1" s="1"/>
  <c r="AF59" i="1"/>
  <c r="AE59" i="1"/>
  <c r="AD59" i="1"/>
  <c r="AC59" i="1"/>
  <c r="AB59" i="1"/>
  <c r="AA59" i="1"/>
  <c r="C31" i="30"/>
  <c r="H22" i="1" l="1"/>
  <c r="H23" i="1"/>
  <c r="G87" i="1"/>
  <c r="Y8" i="1"/>
  <c r="AD12" i="1"/>
  <c r="V51" i="3"/>
  <c r="AC8" i="1"/>
  <c r="G57" i="1"/>
  <c r="H57" i="1"/>
  <c r="J57" i="1"/>
  <c r="L57" i="1"/>
  <c r="I57" i="1"/>
  <c r="K57" i="1"/>
  <c r="M57" i="1"/>
  <c r="T57" i="1"/>
  <c r="R57" i="1"/>
  <c r="B56" i="7" s="1"/>
  <c r="B56" i="8" s="1"/>
  <c r="AA57" i="1"/>
  <c r="AC57" i="1"/>
  <c r="AE57" i="1"/>
  <c r="Q57" i="1"/>
  <c r="AB57" i="1"/>
  <c r="AD57" i="1"/>
  <c r="AF57" i="1"/>
  <c r="P57" i="1"/>
  <c r="O57" i="1"/>
  <c r="N57" i="1"/>
  <c r="B51" i="7"/>
  <c r="B51" i="8" s="1"/>
  <c r="L40" i="1"/>
  <c r="L79" i="1" s="1"/>
  <c r="N40" i="1"/>
  <c r="N79" i="1" s="1"/>
  <c r="P40" i="1"/>
  <c r="P79" i="1" s="1"/>
  <c r="K40" i="1"/>
  <c r="M40" i="1"/>
  <c r="M79" i="1" s="1"/>
  <c r="O40" i="1"/>
  <c r="O79" i="1" s="1"/>
  <c r="Q40" i="1"/>
  <c r="Q79" i="1" s="1"/>
  <c r="S40" i="1"/>
  <c r="S79" i="1" s="1"/>
  <c r="I40" i="1"/>
  <c r="I77" i="1" s="1"/>
  <c r="J42" i="1"/>
  <c r="J40" i="1" s="1"/>
  <c r="AE12" i="1" l="1"/>
  <c r="W51" i="3"/>
  <c r="AD8" i="1"/>
  <c r="H85" i="1"/>
  <c r="R48" i="1"/>
  <c r="R46" i="1" s="1"/>
  <c r="R75" i="1" s="1"/>
  <c r="G32" i="1"/>
  <c r="G85" i="1"/>
  <c r="T48" i="1"/>
  <c r="T46" i="1" s="1"/>
  <c r="E59" i="1"/>
  <c r="E30" i="1"/>
  <c r="E21" i="1"/>
  <c r="E9" i="1"/>
  <c r="G53" i="1" s="1"/>
  <c r="G46" i="1" s="1"/>
  <c r="G75" i="1" s="1"/>
  <c r="AF12" i="1" l="1"/>
  <c r="X51" i="3"/>
  <c r="AE8" i="1"/>
  <c r="R40" i="1"/>
  <c r="R79" i="1" s="1"/>
  <c r="N48" i="1"/>
  <c r="N46" i="1" s="1"/>
  <c r="N75" i="1" s="1"/>
  <c r="B52" i="7"/>
  <c r="B52" i="8" s="1"/>
  <c r="Q48" i="1"/>
  <c r="Q46" i="1" s="1"/>
  <c r="Q75" i="1" s="1"/>
  <c r="B55" i="7"/>
  <c r="B55" i="8" s="1"/>
  <c r="L48" i="1"/>
  <c r="L46" i="1" s="1"/>
  <c r="L75" i="1" s="1"/>
  <c r="B50" i="7"/>
  <c r="B50" i="8" s="1"/>
  <c r="P48" i="1"/>
  <c r="P46" i="1" s="1"/>
  <c r="P75" i="1" s="1"/>
  <c r="B54" i="7"/>
  <c r="B54" i="8" s="1"/>
  <c r="O48" i="1"/>
  <c r="O46" i="1" s="1"/>
  <c r="O75" i="1" s="1"/>
  <c r="B53" i="7"/>
  <c r="B53" i="8" s="1"/>
  <c r="E57" i="1"/>
  <c r="E35" i="1" s="1"/>
  <c r="E92" i="1"/>
  <c r="E93" i="1" s="1"/>
  <c r="H32" i="1"/>
  <c r="H48" i="1"/>
  <c r="E32" i="1"/>
  <c r="E75" i="1"/>
  <c r="M48" i="1"/>
  <c r="M46" i="1" s="1"/>
  <c r="M75" i="1" s="1"/>
  <c r="D124" i="9"/>
  <c r="AA5" i="1" l="1"/>
  <c r="AB5" i="1" s="1"/>
  <c r="AC5" i="1" s="1"/>
  <c r="AD5" i="1" s="1"/>
  <c r="AE5" i="1" s="1"/>
  <c r="AF5" i="1" s="1"/>
  <c r="W5" i="1"/>
  <c r="X5" i="1" s="1"/>
  <c r="Y5" i="1" s="1"/>
  <c r="AF8" i="1"/>
  <c r="H46" i="1"/>
  <c r="I38" i="1"/>
  <c r="I32" i="1" s="1"/>
  <c r="I78" i="1"/>
  <c r="I79" i="1" s="1"/>
  <c r="D130" i="9"/>
  <c r="D135" i="9"/>
  <c r="D127" i="9"/>
  <c r="D132" i="9"/>
  <c r="D134" i="9"/>
  <c r="D131" i="9"/>
  <c r="D128" i="9"/>
  <c r="D133" i="9"/>
  <c r="D125" i="9"/>
  <c r="D129" i="9"/>
  <c r="D126" i="9"/>
  <c r="P172" i="11"/>
  <c r="H87" i="1" l="1"/>
  <c r="T42" i="11"/>
  <c r="T156" i="11"/>
  <c r="T89" i="11"/>
  <c r="T106" i="11"/>
  <c r="T170" i="11"/>
  <c r="T155" i="11"/>
  <c r="T171" i="11"/>
  <c r="T104" i="11"/>
  <c r="T79" i="11"/>
  <c r="T29" i="11"/>
  <c r="T86" i="11"/>
  <c r="T11" i="11"/>
  <c r="T53" i="11"/>
  <c r="T50" i="11"/>
  <c r="T102" i="11"/>
  <c r="T145" i="11"/>
  <c r="T127" i="11"/>
  <c r="T41" i="11"/>
  <c r="T166" i="11"/>
  <c r="T4" i="11"/>
  <c r="T77" i="11"/>
  <c r="T144" i="11"/>
  <c r="T23" i="11"/>
  <c r="T21" i="11"/>
  <c r="T62" i="11"/>
  <c r="T34" i="11"/>
  <c r="T84" i="11"/>
  <c r="T55" i="11"/>
  <c r="T115" i="11"/>
  <c r="T48" i="11"/>
  <c r="T118" i="11"/>
  <c r="T66" i="11"/>
  <c r="T43" i="11"/>
  <c r="T24" i="11"/>
  <c r="T93" i="11"/>
  <c r="T74" i="11"/>
  <c r="T146" i="11"/>
  <c r="T18" i="11"/>
  <c r="T20" i="11"/>
  <c r="T143" i="11"/>
  <c r="T159" i="11"/>
  <c r="T120" i="11"/>
  <c r="T8" i="11"/>
  <c r="T113" i="11"/>
  <c r="T46" i="11"/>
  <c r="T110" i="11"/>
  <c r="T45" i="11"/>
  <c r="T25" i="11"/>
  <c r="T95" i="11"/>
  <c r="T17" i="11"/>
  <c r="T119" i="11"/>
  <c r="T105" i="11"/>
  <c r="T22" i="11"/>
  <c r="T19" i="11"/>
  <c r="T135" i="11"/>
  <c r="T80" i="11"/>
  <c r="T167" i="11"/>
  <c r="T133" i="11"/>
  <c r="T99" i="11"/>
  <c r="T69" i="11"/>
  <c r="T78" i="11"/>
  <c r="T141" i="11"/>
  <c r="T15" i="11"/>
  <c r="T30" i="11"/>
  <c r="T91" i="11"/>
  <c r="T7" i="11"/>
  <c r="T36" i="11"/>
  <c r="T142" i="11"/>
  <c r="T157" i="11"/>
  <c r="T149" i="11"/>
  <c r="T10" i="11"/>
  <c r="T68" i="11"/>
  <c r="T87" i="11"/>
  <c r="T154" i="11"/>
  <c r="T73" i="11"/>
  <c r="T109" i="11"/>
  <c r="T107" i="11"/>
  <c r="T160" i="11"/>
  <c r="T136" i="11"/>
  <c r="T16" i="11"/>
  <c r="T148" i="11"/>
  <c r="T124" i="11"/>
  <c r="T12" i="11"/>
  <c r="T71" i="11"/>
  <c r="T158" i="11"/>
  <c r="T6" i="11"/>
  <c r="T151" i="11"/>
  <c r="T165" i="11"/>
  <c r="T47" i="11"/>
  <c r="T121" i="11"/>
  <c r="T152" i="11"/>
  <c r="T134" i="11"/>
  <c r="T168" i="11"/>
  <c r="T58" i="11"/>
  <c r="T13" i="11"/>
  <c r="T147" i="11"/>
  <c r="T85" i="11"/>
  <c r="T162" i="11"/>
  <c r="T128" i="11"/>
  <c r="T116" i="11"/>
  <c r="T90" i="11"/>
  <c r="T59" i="11"/>
  <c r="T61" i="11"/>
  <c r="T33" i="11"/>
  <c r="T139" i="11"/>
  <c r="T37" i="11"/>
  <c r="T27" i="11"/>
  <c r="T140" i="11"/>
  <c r="T26" i="11"/>
  <c r="T38" i="11"/>
  <c r="T81" i="11"/>
  <c r="T32" i="11"/>
  <c r="T164" i="11"/>
  <c r="T72" i="11"/>
  <c r="T114" i="11"/>
  <c r="T108" i="11"/>
  <c r="T75" i="11"/>
  <c r="T31" i="11"/>
  <c r="T123" i="11"/>
  <c r="T96" i="11"/>
  <c r="T163" i="11"/>
  <c r="T94" i="11"/>
  <c r="T129" i="11"/>
  <c r="T39" i="11"/>
  <c r="T161" i="11"/>
  <c r="T44" i="11"/>
  <c r="T138" i="11"/>
  <c r="T65" i="11"/>
  <c r="T103" i="11"/>
  <c r="T117" i="11"/>
  <c r="T125" i="11"/>
  <c r="T70" i="11"/>
  <c r="T153" i="11"/>
  <c r="T35" i="11"/>
  <c r="T126" i="11"/>
  <c r="T98" i="11"/>
  <c r="T131" i="11"/>
  <c r="T49" i="11"/>
  <c r="T67" i="11"/>
  <c r="T51" i="11"/>
  <c r="T101" i="11"/>
  <c r="T56" i="11"/>
  <c r="T111" i="11"/>
  <c r="T82" i="11"/>
  <c r="T137" i="11"/>
  <c r="T63" i="11"/>
  <c r="T92" i="11"/>
  <c r="T132" i="11"/>
  <c r="T54" i="11"/>
  <c r="T14" i="11"/>
  <c r="T57" i="11"/>
  <c r="T169" i="11"/>
  <c r="T9" i="11"/>
  <c r="T97" i="11"/>
  <c r="T60" i="11"/>
  <c r="T83" i="11"/>
  <c r="T130" i="11"/>
  <c r="T5" i="11"/>
  <c r="T122" i="11"/>
  <c r="T150" i="11"/>
  <c r="T76" i="11"/>
  <c r="T100" i="11"/>
  <c r="T40" i="11"/>
  <c r="T28" i="11"/>
  <c r="T112" i="11"/>
  <c r="T88" i="11"/>
  <c r="T64" i="11"/>
  <c r="T52" i="11"/>
  <c r="Y75" i="11" l="1"/>
  <c r="V48" i="7" s="1"/>
  <c r="V48" i="8" s="1"/>
  <c r="Y123" i="11"/>
  <c r="AD48" i="7" s="1"/>
  <c r="Y51" i="11"/>
  <c r="R48" i="7" s="1"/>
  <c r="R48" i="8" s="1"/>
  <c r="Y39" i="11"/>
  <c r="P48" i="7" s="1"/>
  <c r="P48" i="8" s="1"/>
  <c r="Y87" i="11"/>
  <c r="X48" i="7" s="1"/>
  <c r="X48" i="8" s="1"/>
  <c r="AD48" i="8"/>
  <c r="Y99" i="11"/>
  <c r="Z48" i="7" s="1"/>
  <c r="Z48" i="8" s="1"/>
  <c r="Y111" i="11"/>
  <c r="AB48" i="7" s="1"/>
  <c r="AB48" i="8" s="1"/>
  <c r="Y63" i="11"/>
  <c r="T48" i="7" s="1"/>
  <c r="T48" i="8" s="1"/>
  <c r="Y159" i="11"/>
  <c r="Y147" i="11"/>
  <c r="T172" i="11"/>
  <c r="Y15" i="11"/>
  <c r="Y135" i="11"/>
  <c r="AF48" i="7" s="1"/>
  <c r="Y27" i="11"/>
  <c r="Y171" i="11"/>
  <c r="CW48" i="7" l="1"/>
  <c r="CX48" i="7" s="1"/>
  <c r="CT48" i="7"/>
  <c r="CU48" i="7" s="1"/>
  <c r="CQ48" i="7"/>
  <c r="CR48" i="7" s="1"/>
  <c r="CN48" i="7"/>
  <c r="CO48" i="7" s="1"/>
  <c r="CK48" i="7"/>
  <c r="CL48" i="7" s="1"/>
  <c r="CH48" i="7"/>
  <c r="CI48" i="7" s="1"/>
  <c r="CE48" i="7"/>
  <c r="CF48" i="7" s="1"/>
  <c r="AF48" i="8"/>
  <c r="CE48" i="8" s="1"/>
  <c r="CF48" i="8" s="1"/>
  <c r="BY48" i="7"/>
  <c r="BZ48" i="7" s="1"/>
  <c r="BG48" i="7"/>
  <c r="BH48" i="7" s="1"/>
  <c r="F48" i="7"/>
  <c r="BV48" i="7"/>
  <c r="BW48" i="7" s="1"/>
  <c r="BM48" i="7"/>
  <c r="BN48" i="7" s="1"/>
  <c r="CB48" i="7"/>
  <c r="CC48" i="7" s="1"/>
  <c r="BS48" i="7"/>
  <c r="BT48" i="7" s="1"/>
  <c r="BJ48" i="7"/>
  <c r="BK48" i="7" s="1"/>
  <c r="BP48" i="7"/>
  <c r="BQ48" i="7" s="1"/>
  <c r="P172" i="12"/>
  <c r="F48" i="8" l="1"/>
  <c r="BM48" i="8"/>
  <c r="BN48" i="8" s="1"/>
  <c r="BP48" i="8"/>
  <c r="BQ48" i="8" s="1"/>
  <c r="BJ48" i="8"/>
  <c r="BK48" i="8" s="1"/>
  <c r="BV48" i="8"/>
  <c r="BW48" i="8" s="1"/>
  <c r="BS48" i="8"/>
  <c r="BT48" i="8" s="1"/>
  <c r="BG48" i="8"/>
  <c r="BH48" i="8" s="1"/>
  <c r="BY48" i="8"/>
  <c r="BZ48" i="8" s="1"/>
  <c r="CB48" i="8"/>
  <c r="CC48" i="8" s="1"/>
  <c r="T18" i="12"/>
  <c r="T128" i="12"/>
  <c r="T75" i="12"/>
  <c r="T61" i="12"/>
  <c r="T102" i="12"/>
  <c r="T80" i="12"/>
  <c r="T29" i="12"/>
  <c r="T162" i="12"/>
  <c r="T106" i="12"/>
  <c r="T103" i="12"/>
  <c r="T133" i="12"/>
  <c r="T171" i="12"/>
  <c r="T153" i="12"/>
  <c r="T86" i="12"/>
  <c r="T157" i="12"/>
  <c r="T7" i="12"/>
  <c r="T9" i="12"/>
  <c r="T56" i="12"/>
  <c r="T125" i="12"/>
  <c r="T87" i="12"/>
  <c r="T93" i="12"/>
  <c r="T143" i="12"/>
  <c r="T90" i="12"/>
  <c r="T155" i="12"/>
  <c r="T42" i="12"/>
  <c r="T54" i="12"/>
  <c r="T24" i="12"/>
  <c r="T53" i="12"/>
  <c r="T152" i="12"/>
  <c r="T66" i="12"/>
  <c r="T119" i="12"/>
  <c r="T159" i="12"/>
  <c r="T94" i="12"/>
  <c r="T49" i="12"/>
  <c r="T47" i="12"/>
  <c r="T73" i="12"/>
  <c r="T154" i="12"/>
  <c r="T5" i="12"/>
  <c r="T118" i="12"/>
  <c r="T68" i="12"/>
  <c r="T43" i="12"/>
  <c r="T36" i="12"/>
  <c r="T161" i="12"/>
  <c r="T108" i="12"/>
  <c r="T38" i="12"/>
  <c r="T97" i="12"/>
  <c r="T111" i="12"/>
  <c r="T91" i="12"/>
  <c r="T99" i="12"/>
  <c r="T89" i="12"/>
  <c r="T151" i="12"/>
  <c r="T164" i="12"/>
  <c r="T71" i="12"/>
  <c r="T4" i="12"/>
  <c r="T79" i="12"/>
  <c r="T163" i="12"/>
  <c r="T167" i="12"/>
  <c r="T109" i="12"/>
  <c r="T170" i="12"/>
  <c r="T122" i="12"/>
  <c r="T45" i="12"/>
  <c r="T39" i="12"/>
  <c r="T135" i="12"/>
  <c r="T147" i="12"/>
  <c r="T169" i="12"/>
  <c r="T132" i="12"/>
  <c r="T21" i="12"/>
  <c r="T138" i="12"/>
  <c r="T127" i="12"/>
  <c r="T85" i="12"/>
  <c r="T17" i="12"/>
  <c r="T139" i="12"/>
  <c r="T96" i="12"/>
  <c r="T30" i="12"/>
  <c r="T23" i="12"/>
  <c r="T74" i="12"/>
  <c r="T107" i="12"/>
  <c r="T160" i="12"/>
  <c r="T136" i="12"/>
  <c r="T15" i="12"/>
  <c r="T116" i="12"/>
  <c r="T115" i="12"/>
  <c r="T33" i="12"/>
  <c r="T20" i="12"/>
  <c r="T11" i="12"/>
  <c r="T98" i="12"/>
  <c r="T50" i="12"/>
  <c r="T131" i="12"/>
  <c r="T137" i="12"/>
  <c r="T70" i="12"/>
  <c r="T84" i="12"/>
  <c r="T63" i="12"/>
  <c r="T146" i="12"/>
  <c r="T58" i="12"/>
  <c r="T13" i="12"/>
  <c r="T22" i="12"/>
  <c r="T123" i="12"/>
  <c r="T12" i="12"/>
  <c r="T82" i="12"/>
  <c r="T114" i="12"/>
  <c r="T77" i="12"/>
  <c r="T95" i="12"/>
  <c r="T69" i="12"/>
  <c r="T120" i="12"/>
  <c r="T78" i="12"/>
  <c r="T65" i="12"/>
  <c r="T57" i="12"/>
  <c r="T41" i="12"/>
  <c r="T34" i="12"/>
  <c r="T134" i="12"/>
  <c r="T140" i="12"/>
  <c r="T142" i="12"/>
  <c r="T6" i="12"/>
  <c r="T32" i="12"/>
  <c r="T25" i="12"/>
  <c r="T10" i="12"/>
  <c r="T104" i="12"/>
  <c r="T14" i="12"/>
  <c r="T67" i="12"/>
  <c r="T105" i="12"/>
  <c r="T110" i="12"/>
  <c r="T72" i="12"/>
  <c r="T60" i="12"/>
  <c r="T19" i="12"/>
  <c r="T130" i="12"/>
  <c r="T166" i="12"/>
  <c r="T62" i="12"/>
  <c r="T144" i="12"/>
  <c r="T83" i="12"/>
  <c r="T35" i="12"/>
  <c r="T168" i="12"/>
  <c r="T129" i="12"/>
  <c r="T101" i="12"/>
  <c r="T145" i="12"/>
  <c r="T156" i="12"/>
  <c r="T51" i="12"/>
  <c r="T158" i="12"/>
  <c r="T55" i="12"/>
  <c r="T121" i="12"/>
  <c r="T141" i="12"/>
  <c r="T165" i="12"/>
  <c r="T31" i="12"/>
  <c r="T46" i="12"/>
  <c r="T92" i="12"/>
  <c r="T149" i="12"/>
  <c r="T27" i="12"/>
  <c r="T48" i="12"/>
  <c r="T8" i="12"/>
  <c r="T113" i="12"/>
  <c r="T26" i="12"/>
  <c r="T59" i="12"/>
  <c r="T81" i="12"/>
  <c r="T44" i="12"/>
  <c r="T117" i="12"/>
  <c r="T150" i="12"/>
  <c r="T126" i="12"/>
  <c r="T37" i="12"/>
  <c r="T16" i="12"/>
  <c r="T148" i="12"/>
  <c r="T124" i="12"/>
  <c r="T100" i="12"/>
  <c r="T52" i="12"/>
  <c r="T40" i="12"/>
  <c r="T88" i="12"/>
  <c r="T76" i="12"/>
  <c r="T112" i="12"/>
  <c r="T64" i="12"/>
  <c r="T28" i="12"/>
  <c r="Y99" i="12" l="1"/>
  <c r="Y135" i="12"/>
  <c r="AF49" i="7" s="1"/>
  <c r="CT49" i="7" s="1"/>
  <c r="CU49" i="7" s="1"/>
  <c r="Y27" i="12"/>
  <c r="CH49" i="7"/>
  <c r="CI49" i="7" s="1"/>
  <c r="Y39" i="12"/>
  <c r="Y123" i="12"/>
  <c r="AD49" i="7" s="1"/>
  <c r="AD49" i="8" s="1"/>
  <c r="Y63" i="12"/>
  <c r="T49" i="7" s="1"/>
  <c r="T49" i="8" s="1"/>
  <c r="Y171" i="12"/>
  <c r="Y75" i="12"/>
  <c r="V49" i="7" s="1"/>
  <c r="Y87" i="12"/>
  <c r="X49" i="7" s="1"/>
  <c r="Y51" i="12"/>
  <c r="R49" i="7" s="1"/>
  <c r="Y111" i="12"/>
  <c r="Y159" i="12"/>
  <c r="Y147" i="12"/>
  <c r="Z49" i="8"/>
  <c r="Y15" i="12"/>
  <c r="T172" i="12"/>
  <c r="BV49" i="7" l="1"/>
  <c r="BW49" i="7" s="1"/>
  <c r="CE49" i="7"/>
  <c r="CF49" i="7" s="1"/>
  <c r="CW49" i="7"/>
  <c r="CX49" i="7" s="1"/>
  <c r="AF49" i="8"/>
  <c r="CE49" i="8" s="1"/>
  <c r="CF49" i="8" s="1"/>
  <c r="CK49" i="7"/>
  <c r="CL49" i="7" s="1"/>
  <c r="CN49" i="7"/>
  <c r="CO49" i="7" s="1"/>
  <c r="CQ49" i="7"/>
  <c r="CR49" i="7" s="1"/>
  <c r="CB49" i="8"/>
  <c r="CC49" i="8" s="1"/>
  <c r="CB49" i="7"/>
  <c r="CC49" i="7" s="1"/>
  <c r="BY49" i="7"/>
  <c r="BZ49" i="7" s="1"/>
  <c r="AB49" i="8"/>
  <c r="BS49" i="7"/>
  <c r="BT49" i="7" s="1"/>
  <c r="X49" i="8"/>
  <c r="R49" i="8"/>
  <c r="F49" i="7"/>
  <c r="BJ49" i="7"/>
  <c r="BK49" i="7" s="1"/>
  <c r="V49" i="8"/>
  <c r="BP49" i="7"/>
  <c r="BQ49" i="7" s="1"/>
  <c r="BM49" i="7"/>
  <c r="BN49" i="7" s="1"/>
  <c r="BY49" i="8" l="1"/>
  <c r="BZ49" i="8" s="1"/>
  <c r="BS49" i="8"/>
  <c r="BT49" i="8" s="1"/>
  <c r="F49" i="8"/>
  <c r="BP49" i="8"/>
  <c r="BQ49" i="8" s="1"/>
  <c r="BV49" i="8"/>
  <c r="BW49" i="8" s="1"/>
  <c r="BJ49" i="8"/>
  <c r="BK49" i="8" s="1"/>
  <c r="BM49" i="8"/>
  <c r="BN49" i="8" s="1"/>
  <c r="P172" i="14"/>
  <c r="T36" i="14" l="1"/>
  <c r="T121" i="14"/>
  <c r="T140" i="14"/>
  <c r="T89" i="14"/>
  <c r="T78" i="14"/>
  <c r="T146" i="14"/>
  <c r="T163" i="14"/>
  <c r="T119" i="14"/>
  <c r="T72" i="14"/>
  <c r="T145" i="14"/>
  <c r="T143" i="14"/>
  <c r="T162" i="14"/>
  <c r="T59" i="14"/>
  <c r="T168" i="14"/>
  <c r="T65" i="14"/>
  <c r="T49" i="14"/>
  <c r="T141" i="14"/>
  <c r="T51" i="14"/>
  <c r="T66" i="14"/>
  <c r="T23" i="14"/>
  <c r="T128" i="14"/>
  <c r="T32" i="14"/>
  <c r="T165" i="14"/>
  <c r="T107" i="14"/>
  <c r="T138" i="14"/>
  <c r="T81" i="14"/>
  <c r="T158" i="14"/>
  <c r="T4" i="14"/>
  <c r="T86" i="14"/>
  <c r="T113" i="14"/>
  <c r="T126" i="14"/>
  <c r="T155" i="14"/>
  <c r="T61" i="14"/>
  <c r="T7" i="14"/>
  <c r="T144" i="14"/>
  <c r="T46" i="14"/>
  <c r="T123" i="14"/>
  <c r="T56" i="14"/>
  <c r="T147" i="14"/>
  <c r="T83" i="14"/>
  <c r="T11" i="14"/>
  <c r="T74" i="14"/>
  <c r="T67" i="14"/>
  <c r="T68" i="14"/>
  <c r="T13" i="14"/>
  <c r="T6" i="14"/>
  <c r="T157" i="14"/>
  <c r="T54" i="14"/>
  <c r="T38" i="14"/>
  <c r="T122" i="14"/>
  <c r="T115" i="14"/>
  <c r="T33" i="14"/>
  <c r="T80" i="14"/>
  <c r="T106" i="14"/>
  <c r="T105" i="14"/>
  <c r="T39" i="14"/>
  <c r="T45" i="14"/>
  <c r="T71" i="14"/>
  <c r="T139" i="14"/>
  <c r="T29" i="14"/>
  <c r="T30" i="14"/>
  <c r="T142" i="14"/>
  <c r="T53" i="14"/>
  <c r="T137" i="14"/>
  <c r="T117" i="14"/>
  <c r="T73" i="14"/>
  <c r="T169" i="14"/>
  <c r="T114" i="14"/>
  <c r="T135" i="14"/>
  <c r="T19" i="14"/>
  <c r="T26" i="14"/>
  <c r="T154" i="14"/>
  <c r="T150" i="14"/>
  <c r="T22" i="14"/>
  <c r="T159" i="14"/>
  <c r="T20" i="14"/>
  <c r="T42" i="14"/>
  <c r="T25" i="14"/>
  <c r="T125" i="14"/>
  <c r="T99" i="14"/>
  <c r="T70" i="14"/>
  <c r="T62" i="14"/>
  <c r="T116" i="14"/>
  <c r="T149" i="14"/>
  <c r="T57" i="14"/>
  <c r="T120" i="14"/>
  <c r="T77" i="14"/>
  <c r="T127" i="14"/>
  <c r="T101" i="14"/>
  <c r="T84" i="14"/>
  <c r="T109" i="14"/>
  <c r="T48" i="14"/>
  <c r="T151" i="14"/>
  <c r="T69" i="14"/>
  <c r="T110" i="14"/>
  <c r="T131" i="14"/>
  <c r="T170" i="14"/>
  <c r="T34" i="14"/>
  <c r="T92" i="14"/>
  <c r="T24" i="14"/>
  <c r="T171" i="14"/>
  <c r="T8" i="14"/>
  <c r="T55" i="14"/>
  <c r="T10" i="14"/>
  <c r="T130" i="14"/>
  <c r="T118" i="14"/>
  <c r="T91" i="14"/>
  <c r="T58" i="14"/>
  <c r="T102" i="14"/>
  <c r="T90" i="14"/>
  <c r="T132" i="14"/>
  <c r="T41" i="14"/>
  <c r="T18" i="14"/>
  <c r="T133" i="14"/>
  <c r="T17" i="14"/>
  <c r="T12" i="14"/>
  <c r="T96" i="14"/>
  <c r="T134" i="14"/>
  <c r="T104" i="14"/>
  <c r="T44" i="14"/>
  <c r="T85" i="14"/>
  <c r="T47" i="14"/>
  <c r="T103" i="14"/>
  <c r="T166" i="14"/>
  <c r="T111" i="14"/>
  <c r="T161" i="14"/>
  <c r="T15" i="14"/>
  <c r="T27" i="14"/>
  <c r="T108" i="14"/>
  <c r="T164" i="14"/>
  <c r="T153" i="14"/>
  <c r="T79" i="14"/>
  <c r="T167" i="14"/>
  <c r="T21" i="14"/>
  <c r="T50" i="14"/>
  <c r="T35" i="14"/>
  <c r="T37" i="14"/>
  <c r="T152" i="14"/>
  <c r="T98" i="14"/>
  <c r="T156" i="14"/>
  <c r="T82" i="14"/>
  <c r="T63" i="14"/>
  <c r="T95" i="14"/>
  <c r="T43" i="14"/>
  <c r="T93" i="14"/>
  <c r="T97" i="14"/>
  <c r="T94" i="14"/>
  <c r="T60" i="14"/>
  <c r="T9" i="14"/>
  <c r="T14" i="14"/>
  <c r="T31" i="14"/>
  <c r="T87" i="14"/>
  <c r="T5" i="14"/>
  <c r="T75" i="14"/>
  <c r="T129" i="14"/>
  <c r="T124" i="14"/>
  <c r="T112" i="14"/>
  <c r="T160" i="14"/>
  <c r="T28" i="14"/>
  <c r="T136" i="14"/>
  <c r="T16" i="14"/>
  <c r="T64" i="14"/>
  <c r="T148" i="14"/>
  <c r="T88" i="14"/>
  <c r="T100" i="14"/>
  <c r="T76" i="14"/>
  <c r="T40" i="14"/>
  <c r="T52" i="14"/>
  <c r="Y51" i="14" l="1"/>
  <c r="Y159" i="14"/>
  <c r="Y39" i="14"/>
  <c r="Y111" i="14"/>
  <c r="AB51" i="7" s="1"/>
  <c r="Y27" i="14"/>
  <c r="Y123" i="14"/>
  <c r="AD51" i="7" s="1"/>
  <c r="Y75" i="14"/>
  <c r="V51" i="7" s="1"/>
  <c r="V51" i="8" s="1"/>
  <c r="Y147" i="14"/>
  <c r="AD51" i="8"/>
  <c r="Y63" i="14"/>
  <c r="Y87" i="14"/>
  <c r="X51" i="7" s="1"/>
  <c r="X51" i="8" s="1"/>
  <c r="Y171" i="14"/>
  <c r="AB51" i="8"/>
  <c r="Y15" i="14"/>
  <c r="T172" i="14"/>
  <c r="Y99" i="14"/>
  <c r="Z51" i="7" s="1"/>
  <c r="Y135" i="14"/>
  <c r="AF51" i="7" s="1"/>
  <c r="CW51" i="7" l="1"/>
  <c r="CX51" i="7" s="1"/>
  <c r="CT51" i="7"/>
  <c r="CU51" i="7" s="1"/>
  <c r="CQ51" i="7"/>
  <c r="CR51" i="7" s="1"/>
  <c r="CN51" i="7"/>
  <c r="CO51" i="7" s="1"/>
  <c r="CK51" i="7"/>
  <c r="CL51" i="7" s="1"/>
  <c r="CH51" i="7"/>
  <c r="CI51" i="7" s="1"/>
  <c r="AF51" i="8"/>
  <c r="CE51" i="8" s="1"/>
  <c r="CF51" i="8" s="1"/>
  <c r="CE51" i="7"/>
  <c r="CF51" i="7" s="1"/>
  <c r="BY51" i="7"/>
  <c r="BZ51" i="7" s="1"/>
  <c r="CB51" i="7"/>
  <c r="CC51" i="7" s="1"/>
  <c r="BS51" i="7"/>
  <c r="BT51" i="7" s="1"/>
  <c r="F51" i="7"/>
  <c r="BV51" i="7"/>
  <c r="BW51" i="7" s="1"/>
  <c r="Z51" i="8"/>
  <c r="BP51" i="7"/>
  <c r="BQ51" i="7" s="1"/>
  <c r="BV51" i="8" l="1"/>
  <c r="BW51" i="8" s="1"/>
  <c r="CB51" i="8"/>
  <c r="CC51" i="8" s="1"/>
  <c r="BY51" i="8"/>
  <c r="BZ51" i="8" s="1"/>
  <c r="BS51" i="8"/>
  <c r="BT51" i="8" s="1"/>
  <c r="F51" i="8"/>
  <c r="BP51" i="8"/>
  <c r="BQ51" i="8" s="1"/>
  <c r="P172" i="15"/>
  <c r="T16" i="15" s="1"/>
  <c r="T52" i="15" l="1"/>
  <c r="T88" i="15"/>
  <c r="T76" i="15"/>
  <c r="T160" i="15"/>
  <c r="T136" i="15"/>
  <c r="T131" i="15"/>
  <c r="T157" i="15"/>
  <c r="T5" i="15"/>
  <c r="T34" i="15"/>
  <c r="T141" i="15"/>
  <c r="T23" i="15"/>
  <c r="T145" i="15"/>
  <c r="T50" i="15"/>
  <c r="T13" i="15"/>
  <c r="T143" i="15"/>
  <c r="T46" i="15"/>
  <c r="T33" i="15"/>
  <c r="T59" i="15"/>
  <c r="T48" i="15"/>
  <c r="T147" i="15"/>
  <c r="T158" i="15"/>
  <c r="T66" i="15"/>
  <c r="T127" i="15"/>
  <c r="T37" i="15"/>
  <c r="T115" i="15"/>
  <c r="T19" i="15"/>
  <c r="T106" i="15"/>
  <c r="T4" i="15"/>
  <c r="T27" i="15"/>
  <c r="T104" i="15"/>
  <c r="T102" i="15"/>
  <c r="T83" i="15"/>
  <c r="T101" i="15"/>
  <c r="T53" i="15"/>
  <c r="T125" i="15"/>
  <c r="T32" i="15"/>
  <c r="T63" i="15"/>
  <c r="T14" i="15"/>
  <c r="T60" i="15"/>
  <c r="T167" i="15"/>
  <c r="T164" i="15"/>
  <c r="T129" i="15"/>
  <c r="T89" i="15"/>
  <c r="T65" i="15"/>
  <c r="T10" i="15"/>
  <c r="T42" i="15"/>
  <c r="T168" i="15"/>
  <c r="T20" i="15"/>
  <c r="T24" i="15"/>
  <c r="T21" i="15"/>
  <c r="T93" i="15"/>
  <c r="T149" i="15"/>
  <c r="T94" i="15"/>
  <c r="T105" i="15"/>
  <c r="T22" i="15"/>
  <c r="T82" i="15"/>
  <c r="T69" i="15"/>
  <c r="T90" i="15"/>
  <c r="T45" i="15"/>
  <c r="T91" i="15"/>
  <c r="T56" i="15"/>
  <c r="T117" i="15"/>
  <c r="T81" i="15"/>
  <c r="T155" i="15"/>
  <c r="T30" i="15"/>
  <c r="T57" i="15"/>
  <c r="T70" i="15"/>
  <c r="T49" i="15"/>
  <c r="T146" i="15"/>
  <c r="T71" i="15"/>
  <c r="T51" i="15"/>
  <c r="T126" i="15"/>
  <c r="T36" i="15"/>
  <c r="T121" i="15"/>
  <c r="T171" i="15"/>
  <c r="T86" i="15"/>
  <c r="T35" i="15"/>
  <c r="T55" i="15"/>
  <c r="T68" i="15"/>
  <c r="T44" i="15"/>
  <c r="T142" i="15"/>
  <c r="T41" i="15"/>
  <c r="T92" i="15"/>
  <c r="T73" i="15"/>
  <c r="T161" i="15"/>
  <c r="T113" i="15"/>
  <c r="T118" i="15"/>
  <c r="T87" i="15"/>
  <c r="T140" i="15"/>
  <c r="T150" i="15"/>
  <c r="T154" i="15"/>
  <c r="T159" i="15"/>
  <c r="T67" i="15"/>
  <c r="T80" i="15"/>
  <c r="T9" i="15"/>
  <c r="T96" i="15"/>
  <c r="T95" i="15"/>
  <c r="T132" i="15"/>
  <c r="T116" i="15"/>
  <c r="T11" i="15"/>
  <c r="T169" i="15"/>
  <c r="T78" i="15"/>
  <c r="T85" i="15"/>
  <c r="T165" i="15"/>
  <c r="T130" i="15"/>
  <c r="T12" i="15"/>
  <c r="T6" i="15"/>
  <c r="T84" i="15"/>
  <c r="T135" i="15"/>
  <c r="T98" i="15"/>
  <c r="T58" i="15"/>
  <c r="T43" i="15"/>
  <c r="T39" i="15"/>
  <c r="T133" i="15"/>
  <c r="T31" i="15"/>
  <c r="T77" i="15"/>
  <c r="T110" i="15"/>
  <c r="T153" i="15"/>
  <c r="T119" i="15"/>
  <c r="T120" i="15"/>
  <c r="T162" i="15"/>
  <c r="T138" i="15"/>
  <c r="T170" i="15"/>
  <c r="T107" i="15"/>
  <c r="T8" i="15"/>
  <c r="T97" i="15"/>
  <c r="T163" i="15"/>
  <c r="T122" i="15"/>
  <c r="T7" i="15"/>
  <c r="T61" i="15"/>
  <c r="T108" i="15"/>
  <c r="T134" i="15"/>
  <c r="T109" i="15"/>
  <c r="T128" i="15"/>
  <c r="T15" i="15"/>
  <c r="T137" i="15"/>
  <c r="T25" i="15"/>
  <c r="T156" i="15"/>
  <c r="T79" i="15"/>
  <c r="T144" i="15"/>
  <c r="T111" i="15"/>
  <c r="T62" i="15"/>
  <c r="T72" i="15"/>
  <c r="T54" i="15"/>
  <c r="T151" i="15"/>
  <c r="T38" i="15"/>
  <c r="T29" i="15"/>
  <c r="T166" i="15"/>
  <c r="T17" i="15"/>
  <c r="T114" i="15"/>
  <c r="T152" i="15"/>
  <c r="T47" i="15"/>
  <c r="T75" i="15"/>
  <c r="T74" i="15"/>
  <c r="T26" i="15"/>
  <c r="T139" i="15"/>
  <c r="T99" i="15"/>
  <c r="T103" i="15"/>
  <c r="T18" i="15"/>
  <c r="T123" i="15"/>
  <c r="T40" i="15"/>
  <c r="T100" i="15"/>
  <c r="T148" i="15"/>
  <c r="T64" i="15"/>
  <c r="T28" i="15"/>
  <c r="T124" i="15"/>
  <c r="T112" i="15"/>
  <c r="Y135" i="15" l="1"/>
  <c r="AF52" i="7" s="1"/>
  <c r="Y111" i="15"/>
  <c r="AB52" i="7" s="1"/>
  <c r="Y75" i="15"/>
  <c r="Y63" i="15"/>
  <c r="Y123" i="15"/>
  <c r="AD52" i="7" s="1"/>
  <c r="Y39" i="15"/>
  <c r="Y159" i="15"/>
  <c r="Y51" i="15"/>
  <c r="Y27" i="15"/>
  <c r="AB52" i="8"/>
  <c r="T172" i="15"/>
  <c r="Y15" i="15"/>
  <c r="Y171" i="15"/>
  <c r="Y99" i="15"/>
  <c r="Z52" i="7" s="1"/>
  <c r="Y147" i="15"/>
  <c r="Y87" i="15"/>
  <c r="X52" i="7" s="1"/>
  <c r="CW52" i="7" l="1"/>
  <c r="CX52" i="7" s="1"/>
  <c r="CT52" i="7"/>
  <c r="CU52" i="7" s="1"/>
  <c r="CQ52" i="7"/>
  <c r="CR52" i="7" s="1"/>
  <c r="CN52" i="7"/>
  <c r="CO52" i="7" s="1"/>
  <c r="CK52" i="7"/>
  <c r="CL52" i="7" s="1"/>
  <c r="CH52" i="7"/>
  <c r="CI52" i="7" s="1"/>
  <c r="AF52" i="8"/>
  <c r="CE52" i="8" s="1"/>
  <c r="CF52" i="8" s="1"/>
  <c r="CE52" i="7"/>
  <c r="CF52" i="7" s="1"/>
  <c r="BY52" i="7"/>
  <c r="BZ52" i="7" s="1"/>
  <c r="CB52" i="7"/>
  <c r="CC52" i="7" s="1"/>
  <c r="AD52" i="8"/>
  <c r="CB52" i="8" s="1"/>
  <c r="CC52" i="8" s="1"/>
  <c r="F52" i="7"/>
  <c r="BS52" i="7"/>
  <c r="BT52" i="7" s="1"/>
  <c r="X52" i="8"/>
  <c r="BV52" i="7"/>
  <c r="BW52" i="7" s="1"/>
  <c r="Z52" i="8"/>
  <c r="BV52" i="8" l="1"/>
  <c r="BW52" i="8" s="1"/>
  <c r="BY52" i="8"/>
  <c r="BZ52" i="8" s="1"/>
  <c r="F52" i="8"/>
  <c r="BS52" i="8"/>
  <c r="BT52" i="8" s="1"/>
  <c r="P172" i="16"/>
  <c r="T106" i="16" l="1"/>
  <c r="T131" i="16"/>
  <c r="T67" i="16"/>
  <c r="T55" i="16"/>
  <c r="T85" i="16"/>
  <c r="T145" i="16"/>
  <c r="T38" i="16"/>
  <c r="T29" i="16"/>
  <c r="T69" i="16"/>
  <c r="T134" i="16"/>
  <c r="T151" i="16"/>
  <c r="T150" i="16"/>
  <c r="T19" i="16"/>
  <c r="T25" i="16"/>
  <c r="T33" i="16"/>
  <c r="T41" i="16"/>
  <c r="T129" i="16"/>
  <c r="T119" i="16"/>
  <c r="T121" i="16"/>
  <c r="T51" i="16"/>
  <c r="T117" i="16"/>
  <c r="T68" i="16"/>
  <c r="T127" i="16"/>
  <c r="T171" i="16"/>
  <c r="T71" i="16"/>
  <c r="T103" i="16"/>
  <c r="T147" i="16"/>
  <c r="T75" i="16"/>
  <c r="T26" i="16"/>
  <c r="T18" i="16"/>
  <c r="T11" i="16"/>
  <c r="T108" i="16"/>
  <c r="T59" i="16"/>
  <c r="T109" i="16"/>
  <c r="T161" i="16"/>
  <c r="T20" i="16"/>
  <c r="T86" i="16"/>
  <c r="T53" i="16"/>
  <c r="T135" i="16"/>
  <c r="T96" i="16"/>
  <c r="T80" i="16"/>
  <c r="T115" i="16"/>
  <c r="T60" i="16"/>
  <c r="T79" i="16"/>
  <c r="T6" i="16"/>
  <c r="T44" i="16"/>
  <c r="T139" i="16"/>
  <c r="T49" i="16"/>
  <c r="T9" i="16"/>
  <c r="T167" i="16"/>
  <c r="T89" i="16"/>
  <c r="T37" i="16"/>
  <c r="T17" i="16"/>
  <c r="T82" i="16"/>
  <c r="T73" i="16"/>
  <c r="T152" i="16"/>
  <c r="T32" i="16"/>
  <c r="T31" i="16"/>
  <c r="T84" i="16"/>
  <c r="T130" i="16"/>
  <c r="T101" i="16"/>
  <c r="T81" i="16"/>
  <c r="T107" i="16"/>
  <c r="T153" i="16"/>
  <c r="T120" i="16"/>
  <c r="T87" i="16"/>
  <c r="T8" i="16"/>
  <c r="T165" i="16"/>
  <c r="T66" i="16"/>
  <c r="T118" i="16"/>
  <c r="T30" i="16"/>
  <c r="T166" i="16"/>
  <c r="T62" i="16"/>
  <c r="T105" i="16"/>
  <c r="T54" i="16"/>
  <c r="T36" i="16"/>
  <c r="T43" i="16"/>
  <c r="T162" i="16"/>
  <c r="T35" i="16"/>
  <c r="T78" i="16"/>
  <c r="T15" i="16"/>
  <c r="T83" i="16"/>
  <c r="T125" i="16"/>
  <c r="T70" i="16"/>
  <c r="T102" i="16"/>
  <c r="T5" i="16"/>
  <c r="T164" i="16"/>
  <c r="T156" i="16"/>
  <c r="T168" i="16"/>
  <c r="T146" i="16"/>
  <c r="T169" i="16"/>
  <c r="T126" i="16"/>
  <c r="T141" i="16"/>
  <c r="T39" i="16"/>
  <c r="T170" i="16"/>
  <c r="T111" i="16"/>
  <c r="T113" i="16"/>
  <c r="T154" i="16"/>
  <c r="T158" i="16"/>
  <c r="T132" i="16"/>
  <c r="T116" i="16"/>
  <c r="T92" i="16"/>
  <c r="T61" i="16"/>
  <c r="T90" i="16"/>
  <c r="T155" i="16"/>
  <c r="T48" i="16"/>
  <c r="T157" i="16"/>
  <c r="T21" i="16"/>
  <c r="T123" i="16"/>
  <c r="T97" i="16"/>
  <c r="T27" i="16"/>
  <c r="T22" i="16"/>
  <c r="T110" i="16"/>
  <c r="T93" i="16"/>
  <c r="T98" i="16"/>
  <c r="T142" i="16"/>
  <c r="T47" i="16"/>
  <c r="T45" i="16"/>
  <c r="T104" i="16"/>
  <c r="T10" i="16"/>
  <c r="T137" i="16"/>
  <c r="T63" i="16"/>
  <c r="T163" i="16"/>
  <c r="T138" i="16"/>
  <c r="T34" i="16"/>
  <c r="T149" i="16"/>
  <c r="T7" i="16"/>
  <c r="T58" i="16"/>
  <c r="T133" i="16"/>
  <c r="T42" i="16"/>
  <c r="T77" i="16"/>
  <c r="T91" i="16"/>
  <c r="T128" i="16"/>
  <c r="T56" i="16"/>
  <c r="T14" i="16"/>
  <c r="T4" i="16"/>
  <c r="T46" i="16"/>
  <c r="T143" i="16"/>
  <c r="T122" i="16"/>
  <c r="T23" i="16"/>
  <c r="T12" i="16"/>
  <c r="T144" i="16"/>
  <c r="T95" i="16"/>
  <c r="T74" i="16"/>
  <c r="T114" i="16"/>
  <c r="T72" i="16"/>
  <c r="T50" i="16"/>
  <c r="T99" i="16"/>
  <c r="T13" i="16"/>
  <c r="T140" i="16"/>
  <c r="T159" i="16"/>
  <c r="T94" i="16"/>
  <c r="T57" i="16"/>
  <c r="T65" i="16"/>
  <c r="T24" i="16"/>
  <c r="T148" i="16"/>
  <c r="T16" i="16"/>
  <c r="T52" i="16"/>
  <c r="T64" i="16"/>
  <c r="T160" i="16"/>
  <c r="T112" i="16"/>
  <c r="T28" i="16"/>
  <c r="T76" i="16"/>
  <c r="T100" i="16"/>
  <c r="T88" i="16"/>
  <c r="T124" i="16"/>
  <c r="T136" i="16"/>
  <c r="T40" i="16"/>
  <c r="Y147" i="16" l="1"/>
  <c r="Y99" i="16"/>
  <c r="Z53" i="7" s="1"/>
  <c r="Z53" i="8" s="1"/>
  <c r="Y87" i="16"/>
  <c r="Y123" i="16"/>
  <c r="AD53" i="7" s="1"/>
  <c r="CB53" i="7" s="1"/>
  <c r="CC53" i="7" s="1"/>
  <c r="Y27" i="16"/>
  <c r="Y75" i="16"/>
  <c r="Y51" i="16"/>
  <c r="Y135" i="16"/>
  <c r="Y111" i="16"/>
  <c r="AB53" i="7" s="1"/>
  <c r="Y39" i="16"/>
  <c r="Y171" i="16"/>
  <c r="Y63" i="16"/>
  <c r="Y159" i="16"/>
  <c r="T172" i="16"/>
  <c r="Y15" i="16"/>
  <c r="AD53" i="8" l="1"/>
  <c r="CB53" i="8" s="1"/>
  <c r="CC53" i="8" s="1"/>
  <c r="BY53" i="7"/>
  <c r="BZ53" i="7" s="1"/>
  <c r="F53" i="7"/>
  <c r="BV53" i="7"/>
  <c r="BW53" i="7" s="1"/>
  <c r="AB53" i="8"/>
  <c r="BY53" i="8" s="1"/>
  <c r="BZ53" i="8" s="1"/>
  <c r="P172" i="17"/>
  <c r="T40" i="17" s="1"/>
  <c r="BV53" i="8" l="1"/>
  <c r="BW53" i="8" s="1"/>
  <c r="F53" i="8"/>
  <c r="T100" i="17"/>
  <c r="T124" i="17"/>
  <c r="T64" i="17"/>
  <c r="T76" i="17"/>
  <c r="T88" i="17"/>
  <c r="T51" i="17"/>
  <c r="T56" i="17"/>
  <c r="T35" i="17"/>
  <c r="T109" i="17"/>
  <c r="T81" i="17"/>
  <c r="T168" i="17"/>
  <c r="T20" i="17"/>
  <c r="T129" i="17"/>
  <c r="T171" i="17"/>
  <c r="T23" i="17"/>
  <c r="T50" i="17"/>
  <c r="T21" i="17"/>
  <c r="T34" i="17"/>
  <c r="T107" i="17"/>
  <c r="T164" i="17"/>
  <c r="T155" i="17"/>
  <c r="T17" i="17"/>
  <c r="T115" i="17"/>
  <c r="T15" i="17"/>
  <c r="T130" i="17"/>
  <c r="T43" i="17"/>
  <c r="T48" i="17"/>
  <c r="T165" i="17"/>
  <c r="T65" i="17"/>
  <c r="T93" i="17"/>
  <c r="T149" i="17"/>
  <c r="T80" i="17"/>
  <c r="T98" i="17"/>
  <c r="T116" i="17"/>
  <c r="T72" i="17"/>
  <c r="T84" i="17"/>
  <c r="T113" i="17"/>
  <c r="T33" i="17"/>
  <c r="T147" i="17"/>
  <c r="T89" i="17"/>
  <c r="T128" i="17"/>
  <c r="T31" i="17"/>
  <c r="T29" i="17"/>
  <c r="T122" i="17"/>
  <c r="T69" i="17"/>
  <c r="T143" i="17"/>
  <c r="T4" i="17"/>
  <c r="T32" i="17"/>
  <c r="T101" i="17"/>
  <c r="T153" i="17"/>
  <c r="T126" i="17"/>
  <c r="T10" i="17"/>
  <c r="T104" i="17"/>
  <c r="T137" i="17"/>
  <c r="T118" i="17"/>
  <c r="T36" i="17"/>
  <c r="T78" i="17"/>
  <c r="T27" i="17"/>
  <c r="T39" i="17"/>
  <c r="T26" i="17"/>
  <c r="T41" i="17"/>
  <c r="T83" i="17"/>
  <c r="T59" i="17"/>
  <c r="T30" i="17"/>
  <c r="T125" i="17"/>
  <c r="T158" i="17"/>
  <c r="T37" i="17"/>
  <c r="T103" i="17"/>
  <c r="T142" i="17"/>
  <c r="T144" i="17"/>
  <c r="T163" i="17"/>
  <c r="T11" i="17"/>
  <c r="T97" i="17"/>
  <c r="T140" i="17"/>
  <c r="T63" i="17"/>
  <c r="T9" i="17"/>
  <c r="T138" i="17"/>
  <c r="T157" i="17"/>
  <c r="T105" i="17"/>
  <c r="T70" i="17"/>
  <c r="T7" i="17"/>
  <c r="T162" i="17"/>
  <c r="T108" i="17"/>
  <c r="T75" i="17"/>
  <c r="T106" i="17"/>
  <c r="T134" i="17"/>
  <c r="T159" i="17"/>
  <c r="T82" i="17"/>
  <c r="T139" i="17"/>
  <c r="T141" i="17"/>
  <c r="T57" i="17"/>
  <c r="T22" i="17"/>
  <c r="T152" i="17"/>
  <c r="T5" i="17"/>
  <c r="T13" i="17"/>
  <c r="T74" i="17"/>
  <c r="T95" i="17"/>
  <c r="T114" i="17"/>
  <c r="T68" i="17"/>
  <c r="T86" i="17"/>
  <c r="T24" i="17"/>
  <c r="T145" i="17"/>
  <c r="T71" i="17"/>
  <c r="T151" i="17"/>
  <c r="T156" i="17"/>
  <c r="T131" i="17"/>
  <c r="T117" i="17"/>
  <c r="T120" i="17"/>
  <c r="T170" i="17"/>
  <c r="T111" i="17"/>
  <c r="T110" i="17"/>
  <c r="T49" i="17"/>
  <c r="T169" i="17"/>
  <c r="T67" i="17"/>
  <c r="T121" i="17"/>
  <c r="T25" i="17"/>
  <c r="T91" i="17"/>
  <c r="T87" i="17"/>
  <c r="T90" i="17"/>
  <c r="T79" i="17"/>
  <c r="T167" i="17"/>
  <c r="T150" i="17"/>
  <c r="T77" i="17"/>
  <c r="T119" i="17"/>
  <c r="T132" i="17"/>
  <c r="T166" i="17"/>
  <c r="T135" i="17"/>
  <c r="T133" i="17"/>
  <c r="T146" i="17"/>
  <c r="T94" i="17"/>
  <c r="T46" i="17"/>
  <c r="T18" i="17"/>
  <c r="T96" i="17"/>
  <c r="T54" i="17"/>
  <c r="T62" i="17"/>
  <c r="T6" i="17"/>
  <c r="T66" i="17"/>
  <c r="T8" i="17"/>
  <c r="T19" i="17"/>
  <c r="T161" i="17"/>
  <c r="T154" i="17"/>
  <c r="T47" i="17"/>
  <c r="T45" i="17"/>
  <c r="T127" i="17"/>
  <c r="T61" i="17"/>
  <c r="T53" i="17"/>
  <c r="T73" i="17"/>
  <c r="T44" i="17"/>
  <c r="T42" i="17"/>
  <c r="T102" i="17"/>
  <c r="T85" i="17"/>
  <c r="T12" i="17"/>
  <c r="T60" i="17"/>
  <c r="T92" i="17"/>
  <c r="T38" i="17"/>
  <c r="T99" i="17"/>
  <c r="T58" i="17"/>
  <c r="T14" i="17"/>
  <c r="T55" i="17"/>
  <c r="T123" i="17"/>
  <c r="T136" i="17"/>
  <c r="T52" i="17"/>
  <c r="T28" i="17"/>
  <c r="T112" i="17"/>
  <c r="T148" i="17"/>
  <c r="T160" i="17"/>
  <c r="T16" i="17"/>
  <c r="Y159" i="17" l="1"/>
  <c r="Y147" i="17"/>
  <c r="Y27" i="17"/>
  <c r="Y39" i="17"/>
  <c r="Y171" i="17"/>
  <c r="Y123" i="17"/>
  <c r="AD54" i="7" s="1"/>
  <c r="Y51" i="17"/>
  <c r="Y63" i="17"/>
  <c r="Y87" i="17"/>
  <c r="Y135" i="17"/>
  <c r="AF54" i="7" s="1"/>
  <c r="T172" i="17"/>
  <c r="Y15" i="17"/>
  <c r="Y99" i="17"/>
  <c r="Y75" i="17"/>
  <c r="Y111" i="17"/>
  <c r="AB54" i="7" s="1"/>
  <c r="CW54" i="7" l="1"/>
  <c r="CX54" i="7" s="1"/>
  <c r="CT54" i="7"/>
  <c r="CU54" i="7" s="1"/>
  <c r="CQ54" i="7"/>
  <c r="CR54" i="7" s="1"/>
  <c r="CN54" i="7"/>
  <c r="CO54" i="7" s="1"/>
  <c r="CK54" i="7"/>
  <c r="CL54" i="7" s="1"/>
  <c r="CH54" i="7"/>
  <c r="CI54" i="7" s="1"/>
  <c r="CE54" i="7"/>
  <c r="CF54" i="7" s="1"/>
  <c r="AF54" i="8"/>
  <c r="CE54" i="8" s="1"/>
  <c r="CF54" i="8" s="1"/>
  <c r="AD54" i="8"/>
  <c r="CB54" i="7"/>
  <c r="CC54" i="7" s="1"/>
  <c r="BY54" i="7"/>
  <c r="BZ54" i="7" s="1"/>
  <c r="F54" i="7"/>
  <c r="AB54" i="8"/>
  <c r="P172" i="18"/>
  <c r="T76" i="18" s="1"/>
  <c r="CB54" i="8" l="1"/>
  <c r="CC54" i="8" s="1"/>
  <c r="BY54" i="8"/>
  <c r="BZ54" i="8" s="1"/>
  <c r="F54" i="8"/>
  <c r="T148" i="18"/>
  <c r="T115" i="18"/>
  <c r="T75" i="18"/>
  <c r="T5" i="18"/>
  <c r="T10" i="18"/>
  <c r="T106" i="18"/>
  <c r="T111" i="18"/>
  <c r="T14" i="18"/>
  <c r="T121" i="18"/>
  <c r="T25" i="18"/>
  <c r="T139" i="18"/>
  <c r="T55" i="18"/>
  <c r="T66" i="18"/>
  <c r="T21" i="18"/>
  <c r="T9" i="18"/>
  <c r="T34" i="18"/>
  <c r="T95" i="18"/>
  <c r="T104" i="18"/>
  <c r="T123" i="18"/>
  <c r="T20" i="18"/>
  <c r="T130" i="18"/>
  <c r="T134" i="18"/>
  <c r="T109" i="18"/>
  <c r="T116" i="18"/>
  <c r="T77" i="18"/>
  <c r="T145" i="18"/>
  <c r="T65" i="18"/>
  <c r="T47" i="18"/>
  <c r="T13" i="18"/>
  <c r="T23" i="18"/>
  <c r="T143" i="18"/>
  <c r="T133" i="18"/>
  <c r="T17" i="18"/>
  <c r="T142" i="18"/>
  <c r="T35" i="18"/>
  <c r="T99" i="18"/>
  <c r="T44" i="18"/>
  <c r="T29" i="18"/>
  <c r="T37" i="18"/>
  <c r="T167" i="18"/>
  <c r="T4" i="18"/>
  <c r="T39" i="18"/>
  <c r="T144" i="18"/>
  <c r="T108" i="18"/>
  <c r="T73" i="18"/>
  <c r="T46" i="18"/>
  <c r="T154" i="18"/>
  <c r="T71" i="18"/>
  <c r="T147" i="18"/>
  <c r="T94" i="18"/>
  <c r="T118" i="18"/>
  <c r="T42" i="18"/>
  <c r="T60" i="18"/>
  <c r="T155" i="18"/>
  <c r="T171" i="18"/>
  <c r="T166" i="18"/>
  <c r="T153" i="18"/>
  <c r="T50" i="18"/>
  <c r="T63" i="18"/>
  <c r="T11" i="18"/>
  <c r="T87" i="18"/>
  <c r="T38" i="18"/>
  <c r="T127" i="18"/>
  <c r="T161" i="18"/>
  <c r="T41" i="18"/>
  <c r="T158" i="18"/>
  <c r="T135" i="18"/>
  <c r="T83" i="18"/>
  <c r="T81" i="18"/>
  <c r="T138" i="18"/>
  <c r="T157" i="18"/>
  <c r="T91" i="18"/>
  <c r="T30" i="18"/>
  <c r="T57" i="18"/>
  <c r="T170" i="18"/>
  <c r="T137" i="18"/>
  <c r="T126" i="18"/>
  <c r="T58" i="18"/>
  <c r="T101" i="18"/>
  <c r="T165" i="18"/>
  <c r="T122" i="18"/>
  <c r="T151" i="18"/>
  <c r="T131" i="18"/>
  <c r="T125" i="18"/>
  <c r="T152" i="18"/>
  <c r="T114" i="18"/>
  <c r="T98" i="18"/>
  <c r="T36" i="18"/>
  <c r="T117" i="18"/>
  <c r="T103" i="18"/>
  <c r="T149" i="18"/>
  <c r="T74" i="18"/>
  <c r="T90" i="18"/>
  <c r="T22" i="18"/>
  <c r="T92" i="18"/>
  <c r="T15" i="18"/>
  <c r="T163" i="18"/>
  <c r="T150" i="18"/>
  <c r="T27" i="18"/>
  <c r="T67" i="18"/>
  <c r="T113" i="18"/>
  <c r="T120" i="18"/>
  <c r="T62" i="18"/>
  <c r="T80" i="18"/>
  <c r="T93" i="18"/>
  <c r="T78" i="18"/>
  <c r="T51" i="18"/>
  <c r="T54" i="18"/>
  <c r="T140" i="18"/>
  <c r="T45" i="18"/>
  <c r="T32" i="18"/>
  <c r="T31" i="18"/>
  <c r="T156" i="18"/>
  <c r="T96" i="18"/>
  <c r="T33" i="18"/>
  <c r="T164" i="18"/>
  <c r="T119" i="18"/>
  <c r="T110" i="18"/>
  <c r="T70" i="18"/>
  <c r="T85" i="18"/>
  <c r="T26" i="18"/>
  <c r="T12" i="18"/>
  <c r="T43" i="18"/>
  <c r="T159" i="18"/>
  <c r="T18" i="18"/>
  <c r="T79" i="18"/>
  <c r="T53" i="18"/>
  <c r="T146" i="18"/>
  <c r="T132" i="18"/>
  <c r="T86" i="18"/>
  <c r="T169" i="18"/>
  <c r="T89" i="18"/>
  <c r="T68" i="18"/>
  <c r="T82" i="18"/>
  <c r="T128" i="18"/>
  <c r="T8" i="18"/>
  <c r="T162" i="18"/>
  <c r="T129" i="18"/>
  <c r="T49" i="18"/>
  <c r="T6" i="18"/>
  <c r="T105" i="18"/>
  <c r="T84" i="18"/>
  <c r="T141" i="18"/>
  <c r="T61" i="18"/>
  <c r="T168" i="18"/>
  <c r="T69" i="18"/>
  <c r="T72" i="18"/>
  <c r="T107" i="18"/>
  <c r="T102" i="18"/>
  <c r="T24" i="18"/>
  <c r="T19" i="18"/>
  <c r="T56" i="18"/>
  <c r="T48" i="18"/>
  <c r="T59" i="18"/>
  <c r="T97" i="18"/>
  <c r="T7" i="18"/>
  <c r="T100" i="18"/>
  <c r="T112" i="18"/>
  <c r="T124" i="18"/>
  <c r="T28" i="18"/>
  <c r="T88" i="18"/>
  <c r="T40" i="18"/>
  <c r="T160" i="18"/>
  <c r="T16" i="18"/>
  <c r="T52" i="18"/>
  <c r="T136" i="18"/>
  <c r="T64" i="18"/>
  <c r="Y39" i="18" l="1"/>
  <c r="Y123" i="18"/>
  <c r="AD55" i="7" s="1"/>
  <c r="AD55" i="8" s="1"/>
  <c r="Y147" i="18"/>
  <c r="Y75" i="18"/>
  <c r="Y63" i="18"/>
  <c r="Y171" i="18"/>
  <c r="Y99" i="18"/>
  <c r="Y135" i="18"/>
  <c r="AF55" i="7" s="1"/>
  <c r="CB55" i="7" s="1"/>
  <c r="CC55" i="7" s="1"/>
  <c r="Y111" i="18"/>
  <c r="Y87" i="18"/>
  <c r="Y27" i="18"/>
  <c r="Y51" i="18"/>
  <c r="Y15" i="18"/>
  <c r="T172" i="18"/>
  <c r="Y159" i="18"/>
  <c r="F55" i="7" l="1"/>
  <c r="CW55" i="7"/>
  <c r="CX55" i="7" s="1"/>
  <c r="CT55" i="7"/>
  <c r="CU55" i="7" s="1"/>
  <c r="CQ55" i="7"/>
  <c r="CR55" i="7" s="1"/>
  <c r="CN55" i="7"/>
  <c r="CO55" i="7" s="1"/>
  <c r="CK55" i="7"/>
  <c r="CL55" i="7" s="1"/>
  <c r="CH55" i="7"/>
  <c r="CI55" i="7" s="1"/>
  <c r="AF55" i="8"/>
  <c r="CE55" i="8" s="1"/>
  <c r="CF55" i="8" s="1"/>
  <c r="CE55" i="7"/>
  <c r="CF55" i="7" s="1"/>
  <c r="F55" i="8" l="1"/>
  <c r="CB55" i="8"/>
  <c r="CC55" i="8" s="1"/>
  <c r="BV50" i="7"/>
  <c r="BW50" i="7" s="1"/>
  <c r="BS50" i="7"/>
  <c r="BT50" i="7" s="1"/>
  <c r="BY50" i="7"/>
  <c r="BZ50" i="7" s="1"/>
  <c r="V50" i="8"/>
  <c r="T50" i="8"/>
  <c r="Z50" i="8" l="1"/>
  <c r="AB50" i="8"/>
  <c r="BY50" i="8" s="1"/>
  <c r="BZ50" i="8" s="1"/>
  <c r="X50" i="8"/>
  <c r="F50" i="7"/>
  <c r="BM50" i="7"/>
  <c r="BN50" i="7" s="1"/>
  <c r="BP50" i="7"/>
  <c r="BQ50" i="7" s="1"/>
  <c r="F50" i="8" l="1"/>
  <c r="BS50" i="8"/>
  <c r="BT50" i="8" s="1"/>
  <c r="BV50" i="8"/>
  <c r="BW50" i="8" s="1"/>
  <c r="BP50" i="8"/>
  <c r="BQ50" i="8" s="1"/>
  <c r="BM50" i="8"/>
  <c r="BN50" i="8" s="1"/>
  <c r="P172" i="9"/>
  <c r="T136" i="9" s="1"/>
  <c r="T100" i="9" l="1"/>
  <c r="T124" i="9"/>
  <c r="T142" i="9"/>
  <c r="T8" i="9"/>
  <c r="T94" i="9"/>
  <c r="T143" i="9"/>
  <c r="T87" i="9"/>
  <c r="T31" i="9"/>
  <c r="T75" i="9"/>
  <c r="T11" i="9"/>
  <c r="T49" i="9"/>
  <c r="T36" i="9"/>
  <c r="T56" i="9"/>
  <c r="T19" i="9"/>
  <c r="T25" i="9"/>
  <c r="T128" i="9"/>
  <c r="T132" i="9"/>
  <c r="T18" i="9"/>
  <c r="T30" i="9"/>
  <c r="T98" i="9"/>
  <c r="T158" i="9"/>
  <c r="T144" i="9"/>
  <c r="T22" i="9"/>
  <c r="T61" i="9"/>
  <c r="T93" i="9"/>
  <c r="T67" i="9"/>
  <c r="T122" i="9"/>
  <c r="T123" i="9"/>
  <c r="T102" i="9"/>
  <c r="T68" i="9"/>
  <c r="T46" i="9"/>
  <c r="T89" i="9"/>
  <c r="T33" i="9"/>
  <c r="T115" i="9"/>
  <c r="T121" i="9"/>
  <c r="T129" i="9"/>
  <c r="T149" i="9"/>
  <c r="T73" i="9"/>
  <c r="T106" i="9"/>
  <c r="T55" i="9"/>
  <c r="T79" i="9"/>
  <c r="T90" i="9"/>
  <c r="T154" i="9"/>
  <c r="T34" i="9"/>
  <c r="T97" i="9"/>
  <c r="T104" i="9"/>
  <c r="T170" i="9"/>
  <c r="T137" i="9"/>
  <c r="T70" i="9"/>
  <c r="T60" i="9"/>
  <c r="T159" i="9"/>
  <c r="T45" i="9"/>
  <c r="T24" i="9"/>
  <c r="T86" i="9"/>
  <c r="T96" i="9"/>
  <c r="T107" i="9"/>
  <c r="T91" i="9"/>
  <c r="T78" i="9"/>
  <c r="T71" i="9"/>
  <c r="T131" i="9"/>
  <c r="T164" i="9"/>
  <c r="T139" i="9"/>
  <c r="T114" i="9"/>
  <c r="T92" i="9"/>
  <c r="T165" i="9"/>
  <c r="T38" i="9"/>
  <c r="T167" i="9"/>
  <c r="T12" i="9"/>
  <c r="T9" i="9"/>
  <c r="T66" i="9"/>
  <c r="T150" i="9"/>
  <c r="T44" i="9"/>
  <c r="T157" i="9"/>
  <c r="T134" i="9"/>
  <c r="T53" i="9"/>
  <c r="T141" i="9"/>
  <c r="T166" i="9"/>
  <c r="T58" i="9"/>
  <c r="T32" i="9"/>
  <c r="T160" i="9"/>
  <c r="T135" i="9"/>
  <c r="T62" i="9"/>
  <c r="T168" i="9"/>
  <c r="T147" i="9"/>
  <c r="T103" i="9"/>
  <c r="T101" i="9"/>
  <c r="T85" i="9"/>
  <c r="T35" i="9"/>
  <c r="T47" i="9"/>
  <c r="T10" i="9"/>
  <c r="T41" i="9"/>
  <c r="T146" i="9"/>
  <c r="T37" i="9"/>
  <c r="T23" i="9"/>
  <c r="T14" i="9"/>
  <c r="T169" i="9"/>
  <c r="T21" i="9"/>
  <c r="T74" i="9"/>
  <c r="T113" i="9"/>
  <c r="T83" i="9"/>
  <c r="T26" i="9"/>
  <c r="T171" i="9"/>
  <c r="T81" i="9"/>
  <c r="T29" i="9"/>
  <c r="T42" i="9"/>
  <c r="T161" i="9"/>
  <c r="T125" i="9"/>
  <c r="T77" i="9"/>
  <c r="T65" i="9"/>
  <c r="T133" i="9"/>
  <c r="T13" i="9"/>
  <c r="T117" i="9"/>
  <c r="T127" i="9"/>
  <c r="T151" i="9"/>
  <c r="T5" i="9"/>
  <c r="T152" i="9"/>
  <c r="T110" i="9"/>
  <c r="T108" i="9"/>
  <c r="T84" i="9"/>
  <c r="T80" i="9"/>
  <c r="T51" i="9"/>
  <c r="T7" i="9"/>
  <c r="T140" i="9"/>
  <c r="T111" i="9"/>
  <c r="T163" i="9"/>
  <c r="T50" i="9"/>
  <c r="T119" i="9"/>
  <c r="T72" i="9"/>
  <c r="T20" i="9"/>
  <c r="T130" i="9"/>
  <c r="T69" i="9"/>
  <c r="T59" i="9"/>
  <c r="T57" i="9"/>
  <c r="T153" i="9"/>
  <c r="T99" i="9"/>
  <c r="T63" i="9"/>
  <c r="T138" i="9"/>
  <c r="T82" i="9"/>
  <c r="T118" i="9"/>
  <c r="T120" i="9"/>
  <c r="T48" i="9"/>
  <c r="T17" i="9"/>
  <c r="T162" i="9"/>
  <c r="T155" i="9"/>
  <c r="T116" i="9"/>
  <c r="T156" i="9"/>
  <c r="T95" i="9"/>
  <c r="T27" i="9"/>
  <c r="T54" i="9"/>
  <c r="T43" i="9"/>
  <c r="T15" i="9"/>
  <c r="T39" i="9"/>
  <c r="T105" i="9"/>
  <c r="T145" i="9"/>
  <c r="T6" i="9"/>
  <c r="T109" i="9"/>
  <c r="T126" i="9"/>
  <c r="T16" i="9"/>
  <c r="T88" i="9"/>
  <c r="T40" i="9"/>
  <c r="T64" i="9"/>
  <c r="T28" i="9"/>
  <c r="T76" i="9"/>
  <c r="T112" i="9"/>
  <c r="T4" i="9"/>
  <c r="T52" i="9"/>
  <c r="T148" i="9"/>
  <c r="Y159" i="9" l="1"/>
  <c r="Y87" i="9"/>
  <c r="X46" i="7" s="1"/>
  <c r="Y75" i="9"/>
  <c r="V46" i="7" s="1"/>
  <c r="V46" i="8" s="1"/>
  <c r="Y99" i="9"/>
  <c r="Z46" i="7" s="1"/>
  <c r="Y39" i="9"/>
  <c r="P46" i="7" s="1"/>
  <c r="Y27" i="9"/>
  <c r="Y63" i="9"/>
  <c r="T46" i="7" s="1"/>
  <c r="Y123" i="9"/>
  <c r="AD46" i="7" s="1"/>
  <c r="Y51" i="9"/>
  <c r="R46" i="7" s="1"/>
  <c r="Y135" i="9"/>
  <c r="AF46" i="7" s="1"/>
  <c r="Y111" i="9"/>
  <c r="AB46" i="7" s="1"/>
  <c r="AB46" i="8" s="1"/>
  <c r="Y147" i="9"/>
  <c r="X46" i="8"/>
  <c r="T46" i="8"/>
  <c r="AD46" i="8"/>
  <c r="Y171" i="9"/>
  <c r="T172" i="9"/>
  <c r="Y15" i="9"/>
  <c r="L58" i="7" s="1"/>
  <c r="CW46" i="7" l="1"/>
  <c r="CT46" i="7"/>
  <c r="CQ46" i="7"/>
  <c r="CN46" i="7"/>
  <c r="CK46" i="7"/>
  <c r="CH46" i="7"/>
  <c r="BP46" i="7"/>
  <c r="BQ46" i="7" s="1"/>
  <c r="BJ46" i="7"/>
  <c r="BK46" i="7" s="1"/>
  <c r="BD46" i="7"/>
  <c r="BE46" i="7" s="1"/>
  <c r="N46" i="8"/>
  <c r="BG46" i="7"/>
  <c r="BH46" i="7" s="1"/>
  <c r="CB46" i="7"/>
  <c r="CC46" i="7" s="1"/>
  <c r="Z46" i="8"/>
  <c r="R46" i="8"/>
  <c r="P46" i="8"/>
  <c r="AF46" i="8"/>
  <c r="BM46" i="7"/>
  <c r="BN46" i="7" s="1"/>
  <c r="BV46" i="7"/>
  <c r="BW46" i="7" s="1"/>
  <c r="BS46" i="7"/>
  <c r="BT46" i="7" s="1"/>
  <c r="AH46" i="8"/>
  <c r="CE46" i="7"/>
  <c r="CF46" i="7" s="1"/>
  <c r="BY46" i="7"/>
  <c r="BZ46" i="7" s="1"/>
  <c r="BA46" i="7"/>
  <c r="F46" i="7"/>
  <c r="L46" i="8"/>
  <c r="CL46" i="7" l="1"/>
  <c r="CR46" i="7"/>
  <c r="CX46" i="7"/>
  <c r="CW46" i="8"/>
  <c r="CT46" i="8"/>
  <c r="CQ46" i="8"/>
  <c r="CN46" i="8"/>
  <c r="CO46" i="7"/>
  <c r="CU46" i="7"/>
  <c r="CK46" i="8"/>
  <c r="CI46" i="7"/>
  <c r="BP46" i="8"/>
  <c r="BQ46" i="8" s="1"/>
  <c r="CB46" i="8"/>
  <c r="F46" i="8"/>
  <c r="L59" i="8"/>
  <c r="BV46" i="8"/>
  <c r="BW46" i="8" s="1"/>
  <c r="BG46" i="8"/>
  <c r="BH46" i="8" s="1"/>
  <c r="BM46" i="8"/>
  <c r="BN46" i="8" s="1"/>
  <c r="BY46" i="8"/>
  <c r="BZ46" i="8" s="1"/>
  <c r="BJ46" i="8"/>
  <c r="BK46" i="8" s="1"/>
  <c r="BD46" i="8"/>
  <c r="BE46" i="8" s="1"/>
  <c r="BS46" i="8"/>
  <c r="BT46" i="8" s="1"/>
  <c r="CE46" i="8"/>
  <c r="CF46" i="8" s="1"/>
  <c r="CH46" i="8"/>
  <c r="BB46" i="7"/>
  <c r="BB58" i="7" s="1"/>
  <c r="BA58" i="7"/>
  <c r="CC46" i="8"/>
  <c r="BA46" i="8"/>
  <c r="K59" i="7"/>
  <c r="CO46" i="8" l="1"/>
  <c r="CU46" i="8"/>
  <c r="CR46" i="8"/>
  <c r="CX46" i="8"/>
  <c r="CL46" i="8"/>
  <c r="CI46" i="8"/>
  <c r="J16" i="20"/>
  <c r="J12" i="20" s="1"/>
  <c r="J17" i="20" s="1"/>
  <c r="L61" i="8"/>
  <c r="J28" i="20"/>
  <c r="BB46" i="8"/>
  <c r="BB61" i="8" s="1"/>
  <c r="BB64" i="8" s="1"/>
  <c r="BA61" i="8"/>
  <c r="P172" i="10"/>
  <c r="T99" i="10" s="1"/>
  <c r="K62" i="8" l="1"/>
  <c r="T124" i="10"/>
  <c r="T136" i="10"/>
  <c r="T100" i="10"/>
  <c r="T40" i="10"/>
  <c r="T64" i="10"/>
  <c r="T52" i="10"/>
  <c r="T112" i="10"/>
  <c r="T16" i="10"/>
  <c r="T88" i="10"/>
  <c r="T148" i="10"/>
  <c r="T142" i="10"/>
  <c r="T66" i="10"/>
  <c r="T133" i="10"/>
  <c r="T24" i="10"/>
  <c r="T27" i="10"/>
  <c r="T128" i="10"/>
  <c r="T135" i="10"/>
  <c r="T77" i="10"/>
  <c r="T150" i="10"/>
  <c r="T8" i="10"/>
  <c r="T43" i="10"/>
  <c r="T6" i="10"/>
  <c r="T57" i="10"/>
  <c r="T58" i="10"/>
  <c r="T138" i="10"/>
  <c r="T56" i="10"/>
  <c r="T110" i="10"/>
  <c r="T5" i="10"/>
  <c r="T83" i="10"/>
  <c r="T161" i="10"/>
  <c r="T108" i="10"/>
  <c r="T168" i="10"/>
  <c r="T36" i="10"/>
  <c r="T23" i="10"/>
  <c r="T158" i="10"/>
  <c r="T22" i="10"/>
  <c r="T129" i="10"/>
  <c r="T144" i="10"/>
  <c r="T49" i="10"/>
  <c r="T78" i="10"/>
  <c r="T17" i="10"/>
  <c r="T120" i="10"/>
  <c r="T25" i="10"/>
  <c r="T166" i="10"/>
  <c r="T111" i="10"/>
  <c r="T169" i="10"/>
  <c r="T89" i="10"/>
  <c r="T21" i="10"/>
  <c r="T115" i="10"/>
  <c r="T155" i="10"/>
  <c r="T11" i="10"/>
  <c r="T73" i="10"/>
  <c r="T147" i="10"/>
  <c r="T80" i="10"/>
  <c r="T37" i="10"/>
  <c r="T101" i="10"/>
  <c r="T165" i="10"/>
  <c r="T132" i="10"/>
  <c r="T79" i="10"/>
  <c r="T51" i="10"/>
  <c r="T42" i="10"/>
  <c r="T125" i="10"/>
  <c r="T15" i="10"/>
  <c r="T92" i="10"/>
  <c r="T32" i="10"/>
  <c r="T26" i="10"/>
  <c r="T90" i="10"/>
  <c r="T33" i="10"/>
  <c r="T75" i="10"/>
  <c r="T154" i="10"/>
  <c r="T39" i="10"/>
  <c r="T53" i="10"/>
  <c r="T127" i="10"/>
  <c r="T102" i="10"/>
  <c r="T97" i="10"/>
  <c r="T153" i="10"/>
  <c r="T117" i="10"/>
  <c r="T96" i="10"/>
  <c r="T46" i="10"/>
  <c r="T167" i="10"/>
  <c r="T20" i="10"/>
  <c r="T69" i="10"/>
  <c r="T164" i="10"/>
  <c r="T12" i="10"/>
  <c r="T151" i="10"/>
  <c r="T65" i="10"/>
  <c r="T54" i="10"/>
  <c r="T28" i="10"/>
  <c r="T76" i="10"/>
  <c r="T160" i="10"/>
  <c r="T4" i="10"/>
  <c r="T170" i="10"/>
  <c r="T63" i="10"/>
  <c r="T13" i="10"/>
  <c r="T116" i="10"/>
  <c r="T34" i="10"/>
  <c r="T82" i="10"/>
  <c r="T95" i="10"/>
  <c r="T122" i="10"/>
  <c r="T163" i="10"/>
  <c r="T131" i="10"/>
  <c r="T113" i="10"/>
  <c r="T143" i="10"/>
  <c r="T84" i="10"/>
  <c r="T119" i="10"/>
  <c r="T38" i="10"/>
  <c r="T47" i="10"/>
  <c r="T87" i="10"/>
  <c r="T19" i="10"/>
  <c r="T159" i="10"/>
  <c r="T9" i="10"/>
  <c r="T62" i="10"/>
  <c r="T74" i="10"/>
  <c r="T44" i="10"/>
  <c r="T130" i="10"/>
  <c r="T41" i="10"/>
  <c r="T94" i="10"/>
  <c r="T61" i="10"/>
  <c r="T7" i="10"/>
  <c r="T145" i="10"/>
  <c r="T45" i="10"/>
  <c r="T71" i="10"/>
  <c r="T157" i="10"/>
  <c r="T162" i="10"/>
  <c r="T156" i="10"/>
  <c r="T81" i="10"/>
  <c r="T10" i="10"/>
  <c r="T55" i="10"/>
  <c r="T67" i="10"/>
  <c r="T60" i="10"/>
  <c r="T140" i="10"/>
  <c r="T114" i="10"/>
  <c r="T29" i="10"/>
  <c r="T59" i="10"/>
  <c r="T30" i="10"/>
  <c r="T50" i="10"/>
  <c r="T107" i="10"/>
  <c r="T106" i="10"/>
  <c r="T134" i="10"/>
  <c r="T86" i="10"/>
  <c r="T126" i="10"/>
  <c r="T105" i="10"/>
  <c r="T109" i="10"/>
  <c r="T171" i="10"/>
  <c r="T121" i="10"/>
  <c r="T103" i="10"/>
  <c r="T35" i="10"/>
  <c r="T31" i="10"/>
  <c r="T70" i="10"/>
  <c r="T85" i="10"/>
  <c r="T141" i="10"/>
  <c r="T98" i="10"/>
  <c r="T118" i="10"/>
  <c r="T18" i="10"/>
  <c r="T152" i="10"/>
  <c r="T104" i="10"/>
  <c r="T14" i="10"/>
  <c r="T93" i="10"/>
  <c r="T149" i="10"/>
  <c r="T48" i="10"/>
  <c r="T91" i="10"/>
  <c r="T139" i="10"/>
  <c r="T72" i="10"/>
  <c r="T123" i="10"/>
  <c r="T68" i="10"/>
  <c r="T146" i="10"/>
  <c r="T137" i="10"/>
  <c r="T172" i="10" l="1"/>
  <c r="Y15" i="10"/>
  <c r="Y87" i="10"/>
  <c r="X47" i="7" s="1"/>
  <c r="X58" i="7" s="1"/>
  <c r="Y99" i="10"/>
  <c r="Z47" i="7" s="1"/>
  <c r="Z58" i="7" s="1"/>
  <c r="Y123" i="10"/>
  <c r="AD47" i="7" s="1"/>
  <c r="AD58" i="7" s="1"/>
  <c r="Y75" i="10"/>
  <c r="V47" i="7" s="1"/>
  <c r="V58" i="7" s="1"/>
  <c r="Y111" i="10"/>
  <c r="AB47" i="7" s="1"/>
  <c r="AB58" i="7" s="1"/>
  <c r="Y135" i="10"/>
  <c r="AF47" i="7" s="1"/>
  <c r="Y171" i="10"/>
  <c r="Y39" i="10"/>
  <c r="P47" i="7" s="1"/>
  <c r="P58" i="7" s="1"/>
  <c r="Y159" i="10"/>
  <c r="Y27" i="10"/>
  <c r="N47" i="7" s="1"/>
  <c r="N58" i="7" s="1"/>
  <c r="Y63" i="10"/>
  <c r="T47" i="7" s="1"/>
  <c r="T58" i="7" s="1"/>
  <c r="Y51" i="10"/>
  <c r="R47" i="7" s="1"/>
  <c r="R58" i="7" s="1"/>
  <c r="Y147" i="10"/>
  <c r="AH58" i="7" s="1"/>
  <c r="CW47" i="7" l="1"/>
  <c r="CT47" i="7"/>
  <c r="CQ47" i="7"/>
  <c r="CN47" i="7"/>
  <c r="CK47" i="7"/>
  <c r="CH47" i="7"/>
  <c r="BM47" i="7"/>
  <c r="T47" i="8"/>
  <c r="T59" i="8" s="1"/>
  <c r="AB47" i="8"/>
  <c r="AB59" i="8" s="1"/>
  <c r="BY47" i="7"/>
  <c r="CB47" i="7"/>
  <c r="AD47" i="8"/>
  <c r="AD59" i="8" s="1"/>
  <c r="BS47" i="7"/>
  <c r="X47" i="8"/>
  <c r="X59" i="8" s="1"/>
  <c r="AH47" i="8"/>
  <c r="R47" i="8"/>
  <c r="R59" i="8" s="1"/>
  <c r="BJ47" i="7"/>
  <c r="BD47" i="7"/>
  <c r="N47" i="8"/>
  <c r="N59" i="8" s="1"/>
  <c r="F47" i="7"/>
  <c r="BG47" i="7"/>
  <c r="P47" i="8"/>
  <c r="P59" i="8" s="1"/>
  <c r="AF47" i="8"/>
  <c r="CE47" i="7"/>
  <c r="V47" i="8"/>
  <c r="V59" i="8" s="1"/>
  <c r="BP47" i="7"/>
  <c r="BV47" i="7"/>
  <c r="Z47" i="8"/>
  <c r="Z59" i="8" s="1"/>
  <c r="CK47" i="8" l="1"/>
  <c r="CL47" i="8" s="1"/>
  <c r="CL61" i="8" s="1"/>
  <c r="CL64" i="8" s="1"/>
  <c r="CW47" i="8"/>
  <c r="CT47" i="8"/>
  <c r="CQ47" i="8"/>
  <c r="CN47" i="8"/>
  <c r="T36" i="3"/>
  <c r="T27" i="3" s="1"/>
  <c r="T37" i="3" s="1"/>
  <c r="CL47" i="7"/>
  <c r="CR47" i="7"/>
  <c r="CX47" i="7"/>
  <c r="CO47" i="7"/>
  <c r="CU47" i="7"/>
  <c r="CI47" i="7"/>
  <c r="AH59" i="8"/>
  <c r="AH61" i="8" s="1"/>
  <c r="N16" i="20"/>
  <c r="P61" i="8"/>
  <c r="P16" i="20"/>
  <c r="P12" i="20" s="1"/>
  <c r="P17" i="20" s="1"/>
  <c r="R61" i="8"/>
  <c r="AB16" i="20"/>
  <c r="AB12" i="20" s="1"/>
  <c r="AB17" i="20" s="1"/>
  <c r="AD61" i="8"/>
  <c r="Z16" i="20"/>
  <c r="Z12" i="20" s="1"/>
  <c r="Z17" i="20" s="1"/>
  <c r="AB61" i="8"/>
  <c r="R16" i="20"/>
  <c r="R12" i="20" s="1"/>
  <c r="R17" i="20" s="1"/>
  <c r="T61" i="8"/>
  <c r="T16" i="20"/>
  <c r="T12" i="20" s="1"/>
  <c r="T17" i="20" s="1"/>
  <c r="V61" i="8"/>
  <c r="X16" i="20"/>
  <c r="X12" i="20" s="1"/>
  <c r="X17" i="20" s="1"/>
  <c r="Z61" i="8"/>
  <c r="L16" i="20"/>
  <c r="N61" i="8"/>
  <c r="V16" i="20"/>
  <c r="V12" i="20" s="1"/>
  <c r="V17" i="20" s="1"/>
  <c r="X61" i="8"/>
  <c r="R27" i="3"/>
  <c r="F47" i="8"/>
  <c r="F61" i="8" s="1"/>
  <c r="BQ47" i="7"/>
  <c r="BQ58" i="7" s="1"/>
  <c r="BP58" i="7"/>
  <c r="BG58" i="7"/>
  <c r="BH47" i="7"/>
  <c r="BH58" i="7" s="1"/>
  <c r="BD58" i="7"/>
  <c r="BE47" i="7"/>
  <c r="BE58" i="7" s="1"/>
  <c r="BJ47" i="8"/>
  <c r="AG59" i="7"/>
  <c r="W59" i="7"/>
  <c r="CB47" i="8"/>
  <c r="AC59" i="7"/>
  <c r="BY47" i="8"/>
  <c r="BM47" i="8"/>
  <c r="BN47" i="7"/>
  <c r="BN58" i="7" s="1"/>
  <c r="BM58" i="7"/>
  <c r="BG47" i="8"/>
  <c r="Y59" i="7"/>
  <c r="BP47" i="8"/>
  <c r="CF47" i="7"/>
  <c r="BV47" i="8"/>
  <c r="BV58" i="7"/>
  <c r="BW47" i="7"/>
  <c r="BW58" i="7" s="1"/>
  <c r="U59" i="7"/>
  <c r="CE47" i="8"/>
  <c r="O59" i="7"/>
  <c r="M59" i="7"/>
  <c r="BD47" i="8"/>
  <c r="BK47" i="7"/>
  <c r="BK58" i="7" s="1"/>
  <c r="BJ58" i="7"/>
  <c r="Q59" i="7"/>
  <c r="CH47" i="8"/>
  <c r="BS47" i="8"/>
  <c r="BT47" i="7"/>
  <c r="BT58" i="7" s="1"/>
  <c r="BS58" i="7"/>
  <c r="CB58" i="7"/>
  <c r="CC47" i="7"/>
  <c r="CC58" i="7" s="1"/>
  <c r="BY58" i="7"/>
  <c r="BZ47" i="7"/>
  <c r="BZ58" i="7" s="1"/>
  <c r="AA59" i="7"/>
  <c r="S59" i="7"/>
  <c r="CK61" i="8" l="1"/>
  <c r="CK63" i="8" s="1"/>
  <c r="CL63" i="8" s="1"/>
  <c r="U30" i="2"/>
  <c r="U40" i="2" s="1"/>
  <c r="CO47" i="8"/>
  <c r="CO61" i="8" s="1"/>
  <c r="CO64" i="8" s="1"/>
  <c r="CN61" i="8"/>
  <c r="CN63" i="8" s="1"/>
  <c r="CO63" i="8" s="1"/>
  <c r="CU47" i="8"/>
  <c r="CU61" i="8" s="1"/>
  <c r="CU64" i="8" s="1"/>
  <c r="CT61" i="8"/>
  <c r="CT63" i="8" s="1"/>
  <c r="CU63" i="8" s="1"/>
  <c r="CR47" i="8"/>
  <c r="CR61" i="8" s="1"/>
  <c r="CR64" i="8" s="1"/>
  <c r="CQ61" i="8"/>
  <c r="CQ63" i="8" s="1"/>
  <c r="CR63" i="8" s="1"/>
  <c r="CX47" i="8"/>
  <c r="CX61" i="8" s="1"/>
  <c r="CX64" i="8" s="1"/>
  <c r="CW61" i="8"/>
  <c r="CW63" i="8" s="1"/>
  <c r="CX63" i="8" s="1"/>
  <c r="T46" i="3"/>
  <c r="R37" i="3"/>
  <c r="C30" i="30"/>
  <c r="L12" i="20"/>
  <c r="L17" i="20" s="1"/>
  <c r="L28" i="20"/>
  <c r="N12" i="20"/>
  <c r="N17" i="20" s="1"/>
  <c r="N28" i="20"/>
  <c r="M62" i="8"/>
  <c r="O62" i="8"/>
  <c r="R28" i="20"/>
  <c r="Z28" i="20"/>
  <c r="V28" i="20"/>
  <c r="X28" i="20"/>
  <c r="T28" i="20"/>
  <c r="P28" i="20"/>
  <c r="AB28" i="20"/>
  <c r="CI47" i="8"/>
  <c r="CI61" i="8" s="1"/>
  <c r="CH61" i="8"/>
  <c r="BE47" i="8"/>
  <c r="BE61" i="8" s="1"/>
  <c r="BD61" i="8"/>
  <c r="CF47" i="8"/>
  <c r="BV61" i="8"/>
  <c r="BW47" i="8"/>
  <c r="BW61" i="8" s="1"/>
  <c r="BQ47" i="8"/>
  <c r="BQ61" i="8" s="1"/>
  <c r="BP61" i="8"/>
  <c r="BG61" i="8"/>
  <c r="BH47" i="8"/>
  <c r="BH61" i="8" s="1"/>
  <c r="S62" i="8"/>
  <c r="AA62" i="8"/>
  <c r="AC62" i="8"/>
  <c r="Q62" i="8"/>
  <c r="W62" i="8"/>
  <c r="BS61" i="8"/>
  <c r="BT47" i="8"/>
  <c r="BT61" i="8" s="1"/>
  <c r="AG62" i="8"/>
  <c r="E62" i="8"/>
  <c r="Y62" i="8"/>
  <c r="U62" i="8"/>
  <c r="BN47" i="8"/>
  <c r="BN61" i="8" s="1"/>
  <c r="BM61" i="8"/>
  <c r="BY61" i="8"/>
  <c r="BZ47" i="8"/>
  <c r="BZ61" i="8" s="1"/>
  <c r="CC47" i="8"/>
  <c r="BK47" i="8"/>
  <c r="BK61" i="8" s="1"/>
  <c r="BJ61" i="8"/>
  <c r="S57" i="1" l="1"/>
  <c r="S48" i="1" l="1"/>
  <c r="S46" i="1" s="1"/>
  <c r="S75" i="1" s="1"/>
  <c r="H30" i="1"/>
  <c r="H8" i="1"/>
  <c r="H9" i="1" l="1"/>
  <c r="H75" i="1"/>
  <c r="B47" i="7" l="1"/>
  <c r="H40" i="1"/>
  <c r="H77" i="1" s="1"/>
  <c r="H79" i="1" s="1"/>
  <c r="I46" i="1" l="1"/>
  <c r="I75" i="1" s="1"/>
  <c r="B47" i="8"/>
  <c r="B48" i="7" l="1"/>
  <c r="J32" i="1"/>
  <c r="J78" i="1"/>
  <c r="J79" i="1" s="1"/>
  <c r="J48" i="1" l="1"/>
  <c r="J46" i="1" l="1"/>
  <c r="J75" i="1" s="1"/>
  <c r="B48" i="8"/>
  <c r="K32" i="1" l="1"/>
  <c r="K78" i="1"/>
  <c r="K79" i="1" s="1"/>
  <c r="K48" i="1" l="1"/>
  <c r="B49" i="7"/>
  <c r="B49" i="8" s="1"/>
  <c r="K46" i="1" l="1"/>
  <c r="K75" i="1" s="1"/>
  <c r="N66" i="1"/>
  <c r="O66" i="1" s="1"/>
  <c r="P66" i="1" s="1"/>
  <c r="Q66" i="1" s="1"/>
  <c r="R66" i="1" s="1"/>
  <c r="S66" i="1" s="1"/>
  <c r="T66" i="1" s="1"/>
  <c r="U66" i="1" s="1"/>
  <c r="B58" i="7"/>
  <c r="V66" i="1" l="1"/>
  <c r="AX33" i="7"/>
  <c r="AX60" i="7"/>
  <c r="AY60" i="7"/>
  <c r="AY61" i="7"/>
  <c r="AY33" i="7"/>
  <c r="W66" i="1" l="1"/>
  <c r="Q42" i="2"/>
  <c r="X66" i="1" l="1"/>
  <c r="R40" i="2"/>
  <c r="P172" i="19"/>
  <c r="T152" i="19" s="1"/>
  <c r="Y66" i="1" l="1"/>
  <c r="R42" i="2"/>
  <c r="T124" i="19"/>
  <c r="T160" i="19"/>
  <c r="T148" i="19"/>
  <c r="T88" i="19"/>
  <c r="T16" i="19"/>
  <c r="T100" i="19"/>
  <c r="T112" i="19"/>
  <c r="T64" i="19"/>
  <c r="T40" i="19"/>
  <c r="T76" i="19"/>
  <c r="T28" i="19"/>
  <c r="T4" i="19"/>
  <c r="T136" i="19"/>
  <c r="T52" i="19"/>
  <c r="T129" i="19"/>
  <c r="T63" i="19"/>
  <c r="T120" i="19"/>
  <c r="T19" i="19"/>
  <c r="T114" i="19"/>
  <c r="T72" i="19"/>
  <c r="T78" i="19"/>
  <c r="T18" i="19"/>
  <c r="T33" i="19"/>
  <c r="T89" i="19"/>
  <c r="T66" i="19"/>
  <c r="T22" i="19"/>
  <c r="T131" i="19"/>
  <c r="T53" i="19"/>
  <c r="T46" i="19"/>
  <c r="T21" i="19"/>
  <c r="T102" i="19"/>
  <c r="T133" i="19"/>
  <c r="T163" i="19"/>
  <c r="T85" i="19"/>
  <c r="T6" i="19"/>
  <c r="T12" i="19"/>
  <c r="T167" i="19"/>
  <c r="T150" i="19"/>
  <c r="T137" i="19"/>
  <c r="T123" i="19"/>
  <c r="T154" i="19"/>
  <c r="T71" i="19"/>
  <c r="T165" i="19"/>
  <c r="T159" i="19"/>
  <c r="T169" i="19"/>
  <c r="T118" i="19"/>
  <c r="T70" i="19"/>
  <c r="T157" i="19"/>
  <c r="T35" i="19"/>
  <c r="T127" i="19"/>
  <c r="T17" i="19"/>
  <c r="T13" i="19"/>
  <c r="T168" i="19"/>
  <c r="T143" i="19"/>
  <c r="T86" i="19"/>
  <c r="T147" i="19"/>
  <c r="T161" i="19"/>
  <c r="T14" i="19"/>
  <c r="T68" i="19"/>
  <c r="T138" i="19"/>
  <c r="T38" i="19"/>
  <c r="T65" i="19"/>
  <c r="T98" i="19"/>
  <c r="T111" i="19"/>
  <c r="T36" i="19"/>
  <c r="T54" i="19"/>
  <c r="T155" i="19"/>
  <c r="T81" i="19"/>
  <c r="T99" i="19"/>
  <c r="T59" i="19"/>
  <c r="T105" i="19"/>
  <c r="T135" i="19"/>
  <c r="T170" i="19"/>
  <c r="T39" i="19"/>
  <c r="T48" i="19"/>
  <c r="T79" i="19"/>
  <c r="T41" i="19"/>
  <c r="T47" i="19"/>
  <c r="T75" i="19"/>
  <c r="T144" i="19"/>
  <c r="T116" i="19"/>
  <c r="T60" i="19"/>
  <c r="T10" i="19"/>
  <c r="T77" i="19"/>
  <c r="T44" i="19"/>
  <c r="T56" i="19"/>
  <c r="T93" i="19"/>
  <c r="T5" i="19"/>
  <c r="T23" i="19"/>
  <c r="T9" i="19"/>
  <c r="T115" i="19"/>
  <c r="T55" i="19"/>
  <c r="T141" i="19"/>
  <c r="T62" i="19"/>
  <c r="T140" i="19"/>
  <c r="T73" i="19"/>
  <c r="T25" i="19"/>
  <c r="T74" i="19"/>
  <c r="T103" i="19"/>
  <c r="T42" i="19"/>
  <c r="T104" i="19"/>
  <c r="T109" i="19"/>
  <c r="T87" i="19"/>
  <c r="T107" i="19"/>
  <c r="T69" i="19"/>
  <c r="T153" i="19"/>
  <c r="T139" i="19"/>
  <c r="T158" i="19"/>
  <c r="T94" i="19"/>
  <c r="T37" i="19"/>
  <c r="T67" i="19"/>
  <c r="T142" i="19"/>
  <c r="T132" i="19"/>
  <c r="T57" i="19"/>
  <c r="T130" i="19"/>
  <c r="T90" i="19"/>
  <c r="T26" i="19"/>
  <c r="T7" i="19"/>
  <c r="T82" i="19"/>
  <c r="T15" i="19"/>
  <c r="T91" i="19"/>
  <c r="T83" i="19"/>
  <c r="T51" i="19"/>
  <c r="T108" i="19"/>
  <c r="T166" i="19"/>
  <c r="T156" i="19"/>
  <c r="T61" i="19"/>
  <c r="T106" i="19"/>
  <c r="T30" i="19"/>
  <c r="T20" i="19"/>
  <c r="T145" i="19"/>
  <c r="T84" i="19"/>
  <c r="T151" i="19"/>
  <c r="T31" i="19"/>
  <c r="T96" i="19"/>
  <c r="T125" i="19"/>
  <c r="T29" i="19"/>
  <c r="T121" i="19"/>
  <c r="T110" i="19"/>
  <c r="T43" i="19"/>
  <c r="T117" i="19"/>
  <c r="T171" i="19"/>
  <c r="T8" i="19"/>
  <c r="T32" i="19"/>
  <c r="T49" i="19"/>
  <c r="T80" i="19"/>
  <c r="T92" i="19"/>
  <c r="T164" i="19"/>
  <c r="T45" i="19"/>
  <c r="T128" i="19"/>
  <c r="T146" i="19"/>
  <c r="T24" i="19"/>
  <c r="T122" i="19"/>
  <c r="T11" i="19"/>
  <c r="T101" i="19"/>
  <c r="T58" i="19"/>
  <c r="T149" i="19"/>
  <c r="T134" i="19"/>
  <c r="T34" i="19"/>
  <c r="T97" i="19"/>
  <c r="T113" i="19"/>
  <c r="T119" i="19"/>
  <c r="T162" i="19"/>
  <c r="T95" i="19"/>
  <c r="T50" i="19"/>
  <c r="T126" i="19"/>
  <c r="T27" i="19"/>
  <c r="Y147" i="19" l="1"/>
  <c r="Y39" i="19"/>
  <c r="Y51" i="19"/>
  <c r="Y123" i="19"/>
  <c r="Y27" i="19"/>
  <c r="Y159" i="19"/>
  <c r="Y135" i="19"/>
  <c r="AF56" i="7" s="1"/>
  <c r="Y15" i="19"/>
  <c r="T172" i="19"/>
  <c r="Y63" i="19"/>
  <c r="Y87" i="19"/>
  <c r="Y75" i="19"/>
  <c r="Y111" i="19"/>
  <c r="Y99" i="19"/>
  <c r="Y171" i="19"/>
  <c r="CW56" i="7" l="1"/>
  <c r="CT56" i="7"/>
  <c r="CQ56" i="7"/>
  <c r="CN56" i="7"/>
  <c r="CK56" i="7"/>
  <c r="CH56" i="7"/>
  <c r="F56" i="7"/>
  <c r="F58" i="7" s="1"/>
  <c r="AF58" i="7"/>
  <c r="CE56" i="7"/>
  <c r="AF56" i="8"/>
  <c r="S27" i="3" s="1"/>
  <c r="S37" i="3" s="1"/>
  <c r="CL56" i="7" l="1"/>
  <c r="CL58" i="7" s="1"/>
  <c r="CK58" i="7"/>
  <c r="CK60" i="7" s="1"/>
  <c r="CR56" i="7"/>
  <c r="CR58" i="7" s="1"/>
  <c r="CQ58" i="7"/>
  <c r="CQ60" i="7" s="1"/>
  <c r="CX56" i="7"/>
  <c r="CX58" i="7" s="1"/>
  <c r="CW58" i="7"/>
  <c r="CW60" i="7" s="1"/>
  <c r="CO56" i="7"/>
  <c r="CO58" i="7" s="1"/>
  <c r="CN58" i="7"/>
  <c r="CN60" i="7" s="1"/>
  <c r="CU56" i="7"/>
  <c r="CU58" i="7" s="1"/>
  <c r="CT58" i="7"/>
  <c r="CT60" i="7" s="1"/>
  <c r="CI56" i="7"/>
  <c r="CI58" i="7" s="1"/>
  <c r="CH58" i="7"/>
  <c r="CF56" i="7"/>
  <c r="CF58" i="7" s="1"/>
  <c r="CE58" i="7"/>
  <c r="E59" i="7"/>
  <c r="AF59" i="8"/>
  <c r="F56" i="8"/>
  <c r="CE56" i="8"/>
  <c r="AE59" i="7"/>
  <c r="CU61" i="7" l="1"/>
  <c r="CU60" i="7"/>
  <c r="CO60" i="7"/>
  <c r="CO61" i="7"/>
  <c r="CX60" i="7"/>
  <c r="CX61" i="7"/>
  <c r="CR61" i="7"/>
  <c r="CR60" i="7"/>
  <c r="CL61" i="7"/>
  <c r="CL60" i="7"/>
  <c r="CE61" i="8"/>
  <c r="CF56" i="8"/>
  <c r="CF61" i="8" s="1"/>
  <c r="AD16" i="20"/>
  <c r="AF61" i="8"/>
  <c r="CB61" i="8"/>
  <c r="CC56" i="8"/>
  <c r="CC61" i="8" s="1"/>
  <c r="AD28" i="20" l="1"/>
  <c r="AD12" i="20"/>
  <c r="AD17" i="20" s="1"/>
  <c r="AE62" i="8"/>
  <c r="E27" i="7" l="1"/>
  <c r="E60" i="7" s="1"/>
  <c r="AZ27" i="7"/>
  <c r="AZ31" i="7" s="1"/>
  <c r="K60" i="7"/>
  <c r="P172" i="21"/>
  <c r="T99" i="21" s="1"/>
  <c r="AX63" i="7" l="1"/>
  <c r="T88" i="21"/>
  <c r="T28" i="21"/>
  <c r="T4" i="21"/>
  <c r="T64" i="21"/>
  <c r="T76" i="21"/>
  <c r="T112" i="21"/>
  <c r="K33" i="7"/>
  <c r="T40" i="21"/>
  <c r="E33" i="7"/>
  <c r="T160" i="21"/>
  <c r="T167" i="21"/>
  <c r="T11" i="21"/>
  <c r="T50" i="21"/>
  <c r="T65" i="21"/>
  <c r="T106" i="21"/>
  <c r="T49" i="21"/>
  <c r="T127" i="21"/>
  <c r="T116" i="21"/>
  <c r="T171" i="21"/>
  <c r="T143" i="21"/>
  <c r="T58" i="21"/>
  <c r="T96" i="21"/>
  <c r="T78" i="21"/>
  <c r="T166" i="21"/>
  <c r="T75" i="21"/>
  <c r="T146" i="21"/>
  <c r="T159" i="21"/>
  <c r="T114" i="21"/>
  <c r="T74" i="21"/>
  <c r="T13" i="21"/>
  <c r="T152" i="21"/>
  <c r="T134" i="21"/>
  <c r="T125" i="21"/>
  <c r="T154" i="21"/>
  <c r="T138" i="21"/>
  <c r="T70" i="21"/>
  <c r="T84" i="21"/>
  <c r="T82" i="21"/>
  <c r="T55" i="21"/>
  <c r="T156" i="21"/>
  <c r="T126" i="21"/>
  <c r="T121" i="21"/>
  <c r="T107" i="21"/>
  <c r="T132" i="21"/>
  <c r="T68" i="21"/>
  <c r="T115" i="21"/>
  <c r="T10" i="21"/>
  <c r="T42" i="21"/>
  <c r="T87" i="21"/>
  <c r="T163" i="21"/>
  <c r="T34" i="21"/>
  <c r="T61" i="21"/>
  <c r="T66" i="21"/>
  <c r="T56" i="21"/>
  <c r="T164" i="21"/>
  <c r="T39" i="21"/>
  <c r="T140" i="21"/>
  <c r="T23" i="21"/>
  <c r="T158" i="21"/>
  <c r="T120" i="21"/>
  <c r="T85" i="21"/>
  <c r="T108" i="21"/>
  <c r="T79" i="21"/>
  <c r="T151" i="21"/>
  <c r="T44" i="21"/>
  <c r="T41" i="21"/>
  <c r="T71" i="21"/>
  <c r="T109" i="21"/>
  <c r="T47" i="21"/>
  <c r="T24" i="21"/>
  <c r="T157" i="21"/>
  <c r="T46" i="21"/>
  <c r="T32" i="21"/>
  <c r="T141" i="21"/>
  <c r="T53" i="21"/>
  <c r="T95" i="21"/>
  <c r="T69" i="21"/>
  <c r="T73" i="21"/>
  <c r="T133" i="21"/>
  <c r="T51" i="21"/>
  <c r="T54" i="21"/>
  <c r="T149" i="21"/>
  <c r="T135" i="21"/>
  <c r="T18" i="21"/>
  <c r="T83" i="21"/>
  <c r="T147" i="21"/>
  <c r="T93" i="21"/>
  <c r="T100" i="21"/>
  <c r="T16" i="21"/>
  <c r="T52" i="21"/>
  <c r="T148" i="21"/>
  <c r="T124" i="21"/>
  <c r="T136" i="21"/>
  <c r="T17" i="21"/>
  <c r="T67" i="21"/>
  <c r="T165" i="21"/>
  <c r="T72" i="21"/>
  <c r="T102" i="21"/>
  <c r="T5" i="21"/>
  <c r="T123" i="21"/>
  <c r="T119" i="21"/>
  <c r="T131" i="21"/>
  <c r="T139" i="21"/>
  <c r="T103" i="21"/>
  <c r="T15" i="21"/>
  <c r="T8" i="21"/>
  <c r="T31" i="21"/>
  <c r="T92" i="21"/>
  <c r="T130" i="21"/>
  <c r="T169" i="21"/>
  <c r="T117" i="21"/>
  <c r="T110" i="21"/>
  <c r="T43" i="21"/>
  <c r="T89" i="21"/>
  <c r="T155" i="21"/>
  <c r="T162" i="21"/>
  <c r="T21" i="21"/>
  <c r="T7" i="21"/>
  <c r="T129" i="21"/>
  <c r="T86" i="21"/>
  <c r="T81" i="21"/>
  <c r="T170" i="21"/>
  <c r="T37" i="21"/>
  <c r="T118" i="21"/>
  <c r="T29" i="21"/>
  <c r="T145" i="21"/>
  <c r="T128" i="21"/>
  <c r="T142" i="21"/>
  <c r="T153" i="21"/>
  <c r="T26" i="21"/>
  <c r="T113" i="21"/>
  <c r="T9" i="21"/>
  <c r="T80" i="21"/>
  <c r="T45" i="21"/>
  <c r="T98" i="21"/>
  <c r="T59" i="21"/>
  <c r="T168" i="21"/>
  <c r="T94" i="21"/>
  <c r="T144" i="21"/>
  <c r="T161" i="21"/>
  <c r="T19" i="21"/>
  <c r="T150" i="21"/>
  <c r="T57" i="21"/>
  <c r="T77" i="21"/>
  <c r="T105" i="21"/>
  <c r="T91" i="21"/>
  <c r="T48" i="21"/>
  <c r="T30" i="21"/>
  <c r="T35" i="21"/>
  <c r="T20" i="21"/>
  <c r="T63" i="21"/>
  <c r="T111" i="21"/>
  <c r="T122" i="21"/>
  <c r="T104" i="21"/>
  <c r="T36" i="21"/>
  <c r="T97" i="21"/>
  <c r="T60" i="21"/>
  <c r="T62" i="21"/>
  <c r="T90" i="21"/>
  <c r="T6" i="21"/>
  <c r="T14" i="21"/>
  <c r="T137" i="21"/>
  <c r="T27" i="21"/>
  <c r="T25" i="21"/>
  <c r="T101" i="21"/>
  <c r="T22" i="21"/>
  <c r="T33" i="21"/>
  <c r="T12" i="21"/>
  <c r="T38" i="21"/>
  <c r="AZ60" i="7" l="1"/>
  <c r="AZ33" i="7"/>
  <c r="T172" i="21"/>
  <c r="Y15" i="21"/>
  <c r="L27" i="7" s="1"/>
  <c r="Y135" i="21"/>
  <c r="AF27" i="7" s="1"/>
  <c r="Y63" i="21"/>
  <c r="T27" i="7" s="1"/>
  <c r="Y111" i="21"/>
  <c r="AB27" i="7" s="1"/>
  <c r="Y87" i="21"/>
  <c r="X27" i="7" s="1"/>
  <c r="Y99" i="21"/>
  <c r="Z27" i="7" s="1"/>
  <c r="Y147" i="21"/>
  <c r="AH27" i="7" s="1"/>
  <c r="Y159" i="21"/>
  <c r="Y27" i="21"/>
  <c r="N27" i="7" s="1"/>
  <c r="Y171" i="21"/>
  <c r="Y51" i="21"/>
  <c r="R27" i="7" s="1"/>
  <c r="Y123" i="21"/>
  <c r="AD27" i="7" s="1"/>
  <c r="Y75" i="21"/>
  <c r="V27" i="7" s="1"/>
  <c r="Y39" i="21"/>
  <c r="P27" i="7" s="1"/>
  <c r="AF27" i="8" l="1"/>
  <c r="CE27" i="7"/>
  <c r="AF31" i="7"/>
  <c r="CH27" i="7"/>
  <c r="AH27" i="8"/>
  <c r="AH31" i="7"/>
  <c r="V27" i="8"/>
  <c r="V31" i="8" s="1"/>
  <c r="V31" i="7"/>
  <c r="N27" i="8"/>
  <c r="N31" i="8" s="1"/>
  <c r="N31" i="7"/>
  <c r="X27" i="8"/>
  <c r="X31" i="8" s="1"/>
  <c r="X31" i="7"/>
  <c r="T27" i="8"/>
  <c r="T31" i="8" s="1"/>
  <c r="T31" i="7"/>
  <c r="P27" i="8"/>
  <c r="P31" i="8" s="1"/>
  <c r="P31" i="7"/>
  <c r="AD27" i="8"/>
  <c r="AD31" i="8" s="1"/>
  <c r="AD31" i="7"/>
  <c r="Z27" i="8"/>
  <c r="Z31" i="8" s="1"/>
  <c r="Z31" i="7"/>
  <c r="AB27" i="8"/>
  <c r="AB31" i="8" s="1"/>
  <c r="AB31" i="7"/>
  <c r="R27" i="8"/>
  <c r="R31" i="8" s="1"/>
  <c r="R31" i="7"/>
  <c r="L27" i="8"/>
  <c r="L31" i="8" s="1"/>
  <c r="L31" i="7"/>
  <c r="BG27" i="7"/>
  <c r="BG31" i="7" s="1"/>
  <c r="CB27" i="7"/>
  <c r="CB31" i="7" s="1"/>
  <c r="BV27" i="7"/>
  <c r="BV31" i="7" s="1"/>
  <c r="BY27" i="7"/>
  <c r="BY31" i="7" s="1"/>
  <c r="BP27" i="7"/>
  <c r="BP31" i="7" s="1"/>
  <c r="BJ27" i="7"/>
  <c r="BJ31" i="7" s="1"/>
  <c r="BD27" i="7"/>
  <c r="BD31" i="7" s="1"/>
  <c r="BS27" i="7"/>
  <c r="BS31" i="7" s="1"/>
  <c r="BM27" i="7"/>
  <c r="BM31" i="7" s="1"/>
  <c r="F27" i="7"/>
  <c r="BA27" i="7"/>
  <c r="BA31" i="7" s="1"/>
  <c r="BP27" i="8" l="1"/>
  <c r="BP31" i="8" s="1"/>
  <c r="BQ31" i="8" s="1"/>
  <c r="CH27" i="8"/>
  <c r="AH31" i="8"/>
  <c r="AF33" i="7"/>
  <c r="AE34" i="7" s="1"/>
  <c r="AE32" i="7"/>
  <c r="AF60" i="7"/>
  <c r="AF61" i="7" s="1"/>
  <c r="CE27" i="8"/>
  <c r="AF31" i="8"/>
  <c r="AG32" i="7"/>
  <c r="AH33" i="7"/>
  <c r="AG34" i="7" s="1"/>
  <c r="AH60" i="7"/>
  <c r="AH61" i="7" s="1"/>
  <c r="CI27" i="7"/>
  <c r="CI31" i="7" s="1"/>
  <c r="CH31" i="7"/>
  <c r="CF27" i="7"/>
  <c r="CF31" i="7" s="1"/>
  <c r="CE31" i="7"/>
  <c r="BA27" i="8"/>
  <c r="BA31" i="8" s="1"/>
  <c r="BG27" i="8"/>
  <c r="BS27" i="8"/>
  <c r="BS31" i="8" s="1"/>
  <c r="BT31" i="8" s="1"/>
  <c r="BV27" i="8"/>
  <c r="BV31" i="8" s="1"/>
  <c r="BW31" i="8" s="1"/>
  <c r="F27" i="8"/>
  <c r="BM27" i="8"/>
  <c r="BM31" i="8" s="1"/>
  <c r="BN31" i="8" s="1"/>
  <c r="BJ27" i="8"/>
  <c r="BJ31" i="8" s="1"/>
  <c r="BK31" i="8" s="1"/>
  <c r="BY27" i="8"/>
  <c r="BY31" i="8" s="1"/>
  <c r="BZ31" i="8" s="1"/>
  <c r="CB27" i="8"/>
  <c r="CB31" i="8" s="1"/>
  <c r="CC31" i="8" s="1"/>
  <c r="BD27" i="8"/>
  <c r="BD31" i="8" s="1"/>
  <c r="R9" i="20"/>
  <c r="S32" i="8"/>
  <c r="T33" i="8"/>
  <c r="T63" i="8"/>
  <c r="BT27" i="8"/>
  <c r="N33" i="8"/>
  <c r="M34" i="8" s="1"/>
  <c r="M32" i="8"/>
  <c r="N63" i="8"/>
  <c r="L9" i="20"/>
  <c r="BZ27" i="8"/>
  <c r="K32" i="8"/>
  <c r="L63" i="8"/>
  <c r="J9" i="20"/>
  <c r="L33" i="8"/>
  <c r="K34" i="8" s="1"/>
  <c r="BB27" i="8"/>
  <c r="X33" i="8"/>
  <c r="W34" i="8" s="1"/>
  <c r="V9" i="20"/>
  <c r="W32" i="8"/>
  <c r="X63" i="8"/>
  <c r="Q32" i="8"/>
  <c r="P9" i="20"/>
  <c r="R63" i="8"/>
  <c r="R33" i="8"/>
  <c r="Q34" i="8" s="1"/>
  <c r="AA32" i="8"/>
  <c r="Z9" i="20"/>
  <c r="AB33" i="8"/>
  <c r="AA34" i="8" s="1"/>
  <c r="AB63" i="8"/>
  <c r="Y32" i="8"/>
  <c r="Z33" i="8"/>
  <c r="Y34" i="8" s="1"/>
  <c r="X9" i="20"/>
  <c r="Z63" i="8"/>
  <c r="AD33" i="8"/>
  <c r="AC34" i="8" s="1"/>
  <c r="AB9" i="20"/>
  <c r="AD63" i="8"/>
  <c r="AC32" i="8"/>
  <c r="V33" i="8"/>
  <c r="U34" i="8" s="1"/>
  <c r="U32" i="8"/>
  <c r="V63" i="8"/>
  <c r="T9" i="20"/>
  <c r="BB27" i="7"/>
  <c r="BB31" i="7" s="1"/>
  <c r="L60" i="7"/>
  <c r="L61" i="7" s="1"/>
  <c r="L33" i="7"/>
  <c r="K34" i="7" s="1"/>
  <c r="K32" i="7"/>
  <c r="T33" i="7"/>
  <c r="T60" i="7"/>
  <c r="T61" i="7" s="1"/>
  <c r="S32" i="7"/>
  <c r="X33" i="7"/>
  <c r="W34" i="7" s="1"/>
  <c r="X60" i="7"/>
  <c r="X61" i="7" s="1"/>
  <c r="W32" i="7"/>
  <c r="M32" i="7"/>
  <c r="N33" i="7"/>
  <c r="M34" i="7" s="1"/>
  <c r="N60" i="7"/>
  <c r="N61" i="7" s="1"/>
  <c r="BK27" i="7"/>
  <c r="BK31" i="7" s="1"/>
  <c r="U32" i="7"/>
  <c r="V33" i="7"/>
  <c r="U34" i="7" s="1"/>
  <c r="V60" i="7"/>
  <c r="V61" i="7" s="1"/>
  <c r="BZ27" i="7"/>
  <c r="BZ31" i="7" s="1"/>
  <c r="Y32" i="7"/>
  <c r="Z33" i="7"/>
  <c r="Y34" i="7" s="1"/>
  <c r="Z60" i="7"/>
  <c r="Z61" i="7" s="1"/>
  <c r="CC27" i="7"/>
  <c r="CC31" i="7" s="1"/>
  <c r="P60" i="7"/>
  <c r="P61" i="7" s="1"/>
  <c r="P33" i="7"/>
  <c r="O34" i="7" s="1"/>
  <c r="O32" i="7"/>
  <c r="F60" i="7"/>
  <c r="F61" i="7" s="1"/>
  <c r="F33" i="7"/>
  <c r="F34" i="7" s="1"/>
  <c r="E32" i="7"/>
  <c r="BN27" i="7"/>
  <c r="BN31" i="7" s="1"/>
  <c r="BT27" i="7"/>
  <c r="BT31" i="7" s="1"/>
  <c r="BE27" i="7"/>
  <c r="BE31" i="7" s="1"/>
  <c r="R33" i="7"/>
  <c r="Q34" i="7" s="1"/>
  <c r="R60" i="7"/>
  <c r="R61" i="7" s="1"/>
  <c r="Q32" i="7"/>
  <c r="BQ27" i="7"/>
  <c r="BQ31" i="7" s="1"/>
  <c r="AB33" i="7"/>
  <c r="AA34" i="7" s="1"/>
  <c r="AA32" i="7"/>
  <c r="AB60" i="7"/>
  <c r="AB61" i="7" s="1"/>
  <c r="BW27" i="7"/>
  <c r="BW31" i="7" s="1"/>
  <c r="AD60" i="7"/>
  <c r="AD61" i="7" s="1"/>
  <c r="AC32" i="7"/>
  <c r="AD33" i="7"/>
  <c r="AC34" i="7" s="1"/>
  <c r="BH27" i="7"/>
  <c r="BH31" i="7" s="1"/>
  <c r="BN27" i="8" l="1"/>
  <c r="BQ27" i="8"/>
  <c r="BE27" i="8"/>
  <c r="BW27" i="8"/>
  <c r="CC27" i="8"/>
  <c r="CF33" i="7"/>
  <c r="CF60" i="7"/>
  <c r="CF61" i="7"/>
  <c r="CI33" i="7"/>
  <c r="CI60" i="7"/>
  <c r="CI61" i="7"/>
  <c r="AF33" i="8"/>
  <c r="AE34" i="8" s="1"/>
  <c r="AE32" i="8"/>
  <c r="AD9" i="20"/>
  <c r="AF63" i="8"/>
  <c r="CI27" i="8"/>
  <c r="CH31" i="8"/>
  <c r="CE33" i="7"/>
  <c r="CE60" i="7"/>
  <c r="CH33" i="7"/>
  <c r="CH60" i="7"/>
  <c r="CF27" i="8"/>
  <c r="CE31" i="8"/>
  <c r="AH33" i="8"/>
  <c r="AG34" i="8" s="1"/>
  <c r="AG32" i="8"/>
  <c r="AH63" i="8"/>
  <c r="BK27" i="8"/>
  <c r="BH27" i="8"/>
  <c r="V64" i="8"/>
  <c r="M39" i="3"/>
  <c r="AD64" i="8"/>
  <c r="Q39" i="3"/>
  <c r="X26" i="20"/>
  <c r="X6" i="20"/>
  <c r="X11" i="20" s="1"/>
  <c r="X24" i="20" s="1"/>
  <c r="K39" i="3"/>
  <c r="R64" i="8"/>
  <c r="BN33" i="8"/>
  <c r="BN64" i="8"/>
  <c r="BA33" i="8"/>
  <c r="BA63" i="8"/>
  <c r="BB63" i="8" s="1"/>
  <c r="J26" i="20"/>
  <c r="J6" i="20"/>
  <c r="J11" i="20" s="1"/>
  <c r="J24" i="20" s="1"/>
  <c r="CC33" i="8"/>
  <c r="CC64" i="8"/>
  <c r="BW33" i="8"/>
  <c r="BW64" i="8"/>
  <c r="BZ33" i="8"/>
  <c r="BZ64" i="8"/>
  <c r="BJ33" i="8"/>
  <c r="BJ63" i="8"/>
  <c r="BK63" i="8" s="1"/>
  <c r="N64" i="8"/>
  <c r="I39" i="3"/>
  <c r="BS33" i="8"/>
  <c r="BS63" i="8"/>
  <c r="BT63" i="8" s="1"/>
  <c r="R26" i="20"/>
  <c r="R6" i="20"/>
  <c r="R11" i="20" s="1"/>
  <c r="R24" i="20" s="1"/>
  <c r="T26" i="20"/>
  <c r="T6" i="20"/>
  <c r="T11" i="20" s="1"/>
  <c r="T24" i="20" s="1"/>
  <c r="AB6" i="20"/>
  <c r="AB11" i="20" s="1"/>
  <c r="AB24" i="20" s="1"/>
  <c r="AB26" i="20"/>
  <c r="O39" i="3"/>
  <c r="Z64" i="8"/>
  <c r="AB64" i="8"/>
  <c r="P39" i="3"/>
  <c r="Z6" i="20"/>
  <c r="Z11" i="20" s="1"/>
  <c r="Z24" i="20" s="1"/>
  <c r="Z26" i="20"/>
  <c r="P6" i="20"/>
  <c r="P11" i="20" s="1"/>
  <c r="P24" i="20" s="1"/>
  <c r="P26" i="20"/>
  <c r="BD33" i="8"/>
  <c r="BD63" i="8"/>
  <c r="BE63" i="8" s="1"/>
  <c r="BE31" i="8"/>
  <c r="X64" i="8"/>
  <c r="N39" i="3"/>
  <c r="V6" i="20"/>
  <c r="V11" i="20" s="1"/>
  <c r="V24" i="20" s="1"/>
  <c r="V26" i="20"/>
  <c r="BM63" i="8"/>
  <c r="BN63" i="8" s="1"/>
  <c r="BM33" i="8"/>
  <c r="L64" i="8"/>
  <c r="H39" i="3"/>
  <c r="BP33" i="8"/>
  <c r="BP63" i="8"/>
  <c r="BQ63" i="8" s="1"/>
  <c r="CB33" i="8"/>
  <c r="CB63" i="8"/>
  <c r="CC63" i="8" s="1"/>
  <c r="BV33" i="8"/>
  <c r="BV63" i="8"/>
  <c r="BW63" i="8" s="1"/>
  <c r="BY33" i="8"/>
  <c r="BY63" i="8"/>
  <c r="BZ63" i="8" s="1"/>
  <c r="BK33" i="8"/>
  <c r="BK64" i="8"/>
  <c r="L6" i="20"/>
  <c r="L11" i="20" s="1"/>
  <c r="L24" i="20" s="1"/>
  <c r="L26" i="20"/>
  <c r="BT33" i="8"/>
  <c r="BT64" i="8"/>
  <c r="T64" i="8"/>
  <c r="L39" i="3"/>
  <c r="BH60" i="7"/>
  <c r="BH61" i="7"/>
  <c r="BH33" i="7"/>
  <c r="BV33" i="7"/>
  <c r="BV60" i="7"/>
  <c r="BP60" i="7"/>
  <c r="BP33" i="7"/>
  <c r="BD60" i="7"/>
  <c r="BD33" i="7"/>
  <c r="BS60" i="7"/>
  <c r="BS33" i="7"/>
  <c r="BN33" i="7"/>
  <c r="BN61" i="7"/>
  <c r="BN60" i="7"/>
  <c r="CC61" i="7"/>
  <c r="CC60" i="7"/>
  <c r="CC33" i="7"/>
  <c r="BZ60" i="7"/>
  <c r="BZ61" i="7"/>
  <c r="BZ33" i="7"/>
  <c r="BK60" i="7"/>
  <c r="BK33" i="7"/>
  <c r="BK61" i="7"/>
  <c r="BA60" i="7"/>
  <c r="BA33" i="7"/>
  <c r="BG60" i="7"/>
  <c r="BG33" i="7"/>
  <c r="BW61" i="7"/>
  <c r="BW33" i="7"/>
  <c r="BW60" i="7"/>
  <c r="BQ60" i="7"/>
  <c r="BQ61" i="7"/>
  <c r="BQ33" i="7"/>
  <c r="BE60" i="7"/>
  <c r="BE33" i="7"/>
  <c r="BE61" i="7"/>
  <c r="BT33" i="7"/>
  <c r="BT60" i="7"/>
  <c r="BT61" i="7"/>
  <c r="BM60" i="7"/>
  <c r="BM33" i="7"/>
  <c r="CB33" i="7"/>
  <c r="CB60" i="7"/>
  <c r="BY60" i="7"/>
  <c r="BY33" i="7"/>
  <c r="BJ60" i="7"/>
  <c r="BJ33" i="7"/>
  <c r="BB33" i="7"/>
  <c r="BB60" i="7"/>
  <c r="BB61" i="7"/>
  <c r="F29" i="8"/>
  <c r="F31" i="8" s="1"/>
  <c r="BG29" i="8"/>
  <c r="BH29" i="8" s="1"/>
  <c r="O32" i="8"/>
  <c r="D20" i="30" l="1"/>
  <c r="C35" i="30" s="1"/>
  <c r="S39" i="3"/>
  <c r="AH64" i="8"/>
  <c r="AD26" i="20"/>
  <c r="AD6" i="20"/>
  <c r="AD11" i="20" s="1"/>
  <c r="AD24" i="20" s="1"/>
  <c r="CF31" i="8"/>
  <c r="CE33" i="8"/>
  <c r="CE63" i="8"/>
  <c r="CF63" i="8" s="1"/>
  <c r="CH33" i="8"/>
  <c r="CI31" i="8"/>
  <c r="CH63" i="8"/>
  <c r="CI63" i="8" s="1"/>
  <c r="AF64" i="8"/>
  <c r="R39" i="3"/>
  <c r="BG31" i="8"/>
  <c r="BG33" i="8" s="1"/>
  <c r="D24" i="30"/>
  <c r="C43" i="30" s="1"/>
  <c r="L46" i="3"/>
  <c r="L55" i="3" s="1"/>
  <c r="L57" i="3"/>
  <c r="H46" i="3"/>
  <c r="H55" i="3" s="1"/>
  <c r="H57" i="3"/>
  <c r="N57" i="3"/>
  <c r="D26" i="30"/>
  <c r="C47" i="30" s="1"/>
  <c r="N46" i="3"/>
  <c r="N55" i="3" s="1"/>
  <c r="BE64" i="8"/>
  <c r="BE33" i="8"/>
  <c r="O57" i="3"/>
  <c r="O46" i="3"/>
  <c r="O55" i="3" s="1"/>
  <c r="D27" i="30"/>
  <c r="C49" i="30" s="1"/>
  <c r="K46" i="3"/>
  <c r="K55" i="3" s="1"/>
  <c r="D23" i="30"/>
  <c r="C41" i="30" s="1"/>
  <c r="K57" i="3"/>
  <c r="BQ64" i="8"/>
  <c r="BQ33" i="8"/>
  <c r="D28" i="30"/>
  <c r="C51" i="30" s="1"/>
  <c r="P46" i="3"/>
  <c r="P55" i="3" s="1"/>
  <c r="P57" i="3"/>
  <c r="I57" i="3"/>
  <c r="I46" i="3"/>
  <c r="I55" i="3" s="1"/>
  <c r="D21" i="30"/>
  <c r="C37" i="30" s="1"/>
  <c r="Q57" i="3"/>
  <c r="Q46" i="3"/>
  <c r="Q55" i="3" s="1"/>
  <c r="D25" i="30"/>
  <c r="C45" i="30" s="1"/>
  <c r="M46" i="3"/>
  <c r="M55" i="3" s="1"/>
  <c r="M57" i="3"/>
  <c r="E32" i="8"/>
  <c r="F63" i="8"/>
  <c r="F64" i="8" s="1"/>
  <c r="F33" i="8"/>
  <c r="P33" i="8"/>
  <c r="O34" i="8" s="1"/>
  <c r="P63" i="8"/>
  <c r="N9" i="20"/>
  <c r="D29" i="30" l="1"/>
  <c r="C53" i="30" s="1"/>
  <c r="CI33" i="8"/>
  <c r="CI64" i="8"/>
  <c r="CF33" i="8"/>
  <c r="CF64" i="8"/>
  <c r="D31" i="30"/>
  <c r="S46" i="3"/>
  <c r="D30" i="30"/>
  <c r="C55" i="30" s="1"/>
  <c r="R46" i="3"/>
  <c r="R55" i="3" s="1"/>
  <c r="R57" i="3"/>
  <c r="BH31" i="8"/>
  <c r="BH33" i="8" s="1"/>
  <c r="BG63" i="8"/>
  <c r="BH63" i="8" s="1"/>
  <c r="N26" i="20"/>
  <c r="N6" i="20"/>
  <c r="N11" i="20" s="1"/>
  <c r="N24" i="20" s="1"/>
  <c r="BH64" i="8"/>
  <c r="P64" i="8"/>
  <c r="J39" i="3"/>
  <c r="J57" i="3" l="1"/>
  <c r="D22" i="30"/>
  <c r="C39" i="30" s="1"/>
  <c r="J46" i="3"/>
  <c r="J55" i="3" s="1"/>
  <c r="T21" i="1" l="1"/>
  <c r="S49" i="3"/>
  <c r="S53" i="3" s="1"/>
  <c r="T7" i="1"/>
  <c r="E31" i="30" s="1"/>
  <c r="U21" i="1"/>
  <c r="AA11" i="1"/>
  <c r="G59" i="30" l="1"/>
  <c r="C57" i="30"/>
  <c r="S41" i="2"/>
  <c r="S42" i="2" s="1"/>
  <c r="T53" i="3"/>
  <c r="AB11" i="1"/>
  <c r="AA7" i="1"/>
  <c r="T9" i="1"/>
  <c r="AA94" i="1"/>
  <c r="AB94" i="1"/>
  <c r="AA21" i="1"/>
  <c r="U7" i="1"/>
  <c r="E32" i="30" s="1"/>
  <c r="S48" i="3"/>
  <c r="T75" i="1"/>
  <c r="C59" i="30" l="1"/>
  <c r="G61" i="30"/>
  <c r="T48" i="3"/>
  <c r="T41" i="2"/>
  <c r="T42" i="2" s="1"/>
  <c r="AA53" i="1"/>
  <c r="AA51" i="1" s="1"/>
  <c r="AA48" i="1" s="1"/>
  <c r="AA46" i="1" s="1"/>
  <c r="T41" i="1"/>
  <c r="T40" i="1" s="1"/>
  <c r="T79" i="1" s="1"/>
  <c r="S55" i="3"/>
  <c r="S57" i="3"/>
  <c r="V21" i="1"/>
  <c r="V7" i="1"/>
  <c r="E33" i="30" s="1"/>
  <c r="C61" i="30" s="1"/>
  <c r="U75" i="1"/>
  <c r="U9" i="1"/>
  <c r="U41" i="1" s="1"/>
  <c r="U40" i="1" s="1"/>
  <c r="U79" i="1" s="1"/>
  <c r="AB21" i="1"/>
  <c r="AB7" i="1"/>
  <c r="AC94" i="1" s="1"/>
  <c r="AC11" i="1"/>
  <c r="AA92" i="1"/>
  <c r="AA93" i="1" s="1"/>
  <c r="AA9" i="1"/>
  <c r="AA87" i="1"/>
  <c r="T58" i="3"/>
  <c r="W94" i="1" l="1"/>
  <c r="U48" i="3"/>
  <c r="U41" i="2"/>
  <c r="U42" i="2" s="1"/>
  <c r="AC21" i="1"/>
  <c r="V49" i="3"/>
  <c r="AC7" i="1"/>
  <c r="AD11" i="1"/>
  <c r="T57" i="3"/>
  <c r="T55" i="3"/>
  <c r="AA42" i="1"/>
  <c r="AA40" i="1" s="1"/>
  <c r="AA77" i="1" s="1"/>
  <c r="AA79" i="1" s="1"/>
  <c r="AB53" i="1"/>
  <c r="AB51" i="1" s="1"/>
  <c r="AB48" i="1" s="1"/>
  <c r="AB46" i="1" s="1"/>
  <c r="V58" i="3"/>
  <c r="AB9" i="1"/>
  <c r="AB87" i="1"/>
  <c r="AB92" i="1"/>
  <c r="AB93" i="1" s="1"/>
  <c r="U58" i="3"/>
  <c r="U53" i="3"/>
  <c r="W7" i="1"/>
  <c r="X94" i="1" s="1"/>
  <c r="W21" i="1"/>
  <c r="V75" i="1"/>
  <c r="V9" i="1"/>
  <c r="V41" i="1" s="1"/>
  <c r="V40" i="1" s="1"/>
  <c r="V79" i="1" s="1"/>
  <c r="X7" i="1" l="1"/>
  <c r="Y94" i="1" s="1"/>
  <c r="X21" i="1"/>
  <c r="AB42" i="1"/>
  <c r="AB40" i="1" s="1"/>
  <c r="AB77" i="1" s="1"/>
  <c r="AB79" i="1" s="1"/>
  <c r="AC53" i="1"/>
  <c r="AC51" i="1" s="1"/>
  <c r="AC48" i="1" s="1"/>
  <c r="AC46" i="1" s="1"/>
  <c r="AC92" i="1"/>
  <c r="AC93" i="1" s="1"/>
  <c r="AC9" i="1"/>
  <c r="AC87" i="1"/>
  <c r="V48" i="3"/>
  <c r="AD94" i="1"/>
  <c r="W85" i="1"/>
  <c r="W92" i="1"/>
  <c r="W93" i="1" s="1"/>
  <c r="W9" i="1"/>
  <c r="W41" i="1" s="1"/>
  <c r="W40" i="1" s="1"/>
  <c r="W77" i="1" s="1"/>
  <c r="W79" i="1" s="1"/>
  <c r="W75" i="1"/>
  <c r="W87" i="1"/>
  <c r="U55" i="3"/>
  <c r="U57" i="3"/>
  <c r="W49" i="3"/>
  <c r="W53" i="3" s="1"/>
  <c r="AD21" i="1"/>
  <c r="AD7" i="1"/>
  <c r="AE94" i="1" s="1"/>
  <c r="AE11" i="1"/>
  <c r="V53" i="3"/>
  <c r="AD92" i="1" l="1"/>
  <c r="AD9" i="1"/>
  <c r="AD87" i="1"/>
  <c r="W48" i="3"/>
  <c r="V57" i="3"/>
  <c r="V55" i="3"/>
  <c r="W58" i="3"/>
  <c r="AD53" i="1"/>
  <c r="AD51" i="1" s="1"/>
  <c r="AD48" i="1" s="1"/>
  <c r="AD46" i="1" s="1"/>
  <c r="AC42" i="1"/>
  <c r="AC40" i="1" s="1"/>
  <c r="AC77" i="1" s="1"/>
  <c r="AC79" i="1" s="1"/>
  <c r="AE21" i="1"/>
  <c r="X49" i="3"/>
  <c r="X53" i="3" s="1"/>
  <c r="AE7" i="1"/>
  <c r="AF11" i="1"/>
  <c r="Y21" i="1"/>
  <c r="Y7" i="1"/>
  <c r="X85" i="1"/>
  <c r="X92" i="1"/>
  <c r="X93" i="1" s="1"/>
  <c r="X9" i="1"/>
  <c r="X40" i="1" s="1"/>
  <c r="X77" i="1" s="1"/>
  <c r="X79" i="1" s="1"/>
  <c r="X75" i="1"/>
  <c r="X87" i="1"/>
  <c r="AD93" i="1"/>
  <c r="AF21" i="1" l="1"/>
  <c r="AF7" i="1"/>
  <c r="AE92" i="1"/>
  <c r="AE93" i="1" s="1"/>
  <c r="X48" i="3"/>
  <c r="AE9" i="1"/>
  <c r="AE87" i="1"/>
  <c r="W55" i="3"/>
  <c r="W57" i="3"/>
  <c r="X58" i="3"/>
  <c r="AE53" i="1"/>
  <c r="AE51" i="1" s="1"/>
  <c r="AE48" i="1" s="1"/>
  <c r="AE46" i="1" s="1"/>
  <c r="AD42" i="1"/>
  <c r="AD40" i="1" s="1"/>
  <c r="AD77" i="1" s="1"/>
  <c r="AD79" i="1" s="1"/>
  <c r="AF94" i="1"/>
  <c r="Y75" i="1"/>
  <c r="Y85" i="1"/>
  <c r="Y92" i="1"/>
  <c r="Y93" i="1" s="1"/>
  <c r="Y87" i="1"/>
  <c r="Y9" i="1"/>
  <c r="Y40" i="1" s="1"/>
  <c r="Y77" i="1" s="1"/>
  <c r="Y79" i="1" s="1"/>
  <c r="AE42" i="1" l="1"/>
  <c r="AE40" i="1" s="1"/>
  <c r="AE77" i="1" s="1"/>
  <c r="AE79" i="1" s="1"/>
  <c r="AF53" i="1"/>
  <c r="AF51" i="1" s="1"/>
  <c r="AF48" i="1" s="1"/>
  <c r="AF46" i="1" s="1"/>
  <c r="X55" i="3"/>
  <c r="X57" i="3"/>
  <c r="AF92" i="1"/>
  <c r="AF93" i="1" s="1"/>
  <c r="AF9" i="1"/>
  <c r="AF42" i="1" l="1"/>
  <c r="AF40" i="1" s="1"/>
  <c r="AF77" i="1" s="1"/>
  <c r="AF79" i="1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<sst xmlns="http://schemas.openxmlformats.org/spreadsheetml/2006/main" count="5235" uniqueCount="552">
  <si>
    <t>Wyszczególnienie</t>
  </si>
  <si>
    <t>– kredytów</t>
  </si>
  <si>
    <t>– pożyczek</t>
  </si>
  <si>
    <t>– sprzedaży papierów wartościowych</t>
  </si>
  <si>
    <t>Wyłączenia z limitu</t>
  </si>
  <si>
    <t>x</t>
  </si>
  <si>
    <t>Stan na początek roku</t>
  </si>
  <si>
    <t>wolnych środków, o których mowa w art. 217 ust. 2 pkt 6</t>
  </si>
  <si>
    <t>Razem (nadwyżka + wolne środki)</t>
  </si>
  <si>
    <t>Obliczenia limitów i wskaźników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</si>
  <si>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</si>
  <si>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</si>
  <si>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</si>
  <si>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</si>
  <si>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</si>
  <si>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</si>
  <si>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</si>
  <si>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</si>
  <si>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</si>
  <si>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</si>
  <si>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</si>
  <si>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</si>
  <si>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</si>
  <si>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</si>
  <si>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</si>
  <si>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</si>
  <si>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</si>
  <si>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</si>
  <si>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</si>
  <si>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</si>
  <si>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</si>
  <si>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</si>
  <si>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</si>
  <si>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</si>
  <si>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</si>
  <si>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</si>
  <si>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</si>
  <si>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</si>
  <si>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</si>
  <si>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</si>
  <si>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</si>
  <si>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</si>
  <si>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</si>
  <si>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</si>
  <si>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</si>
  <si>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</si>
  <si>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</si>
  <si>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</si>
  <si>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</si>
  <si>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</si>
  <si>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</si>
  <si>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</si>
  <si>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</si>
  <si>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</si>
  <si>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</si>
  <si>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</si>
  <si>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</si>
  <si>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</si>
  <si>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</si>
  <si>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</si>
  <si>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</si>
  <si>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</si>
  <si>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</si>
  <si>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</si>
  <si>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</si>
  <si>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</si>
  <si>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</si>
  <si>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</si>
  <si>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</si>
  <si>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</si>
  <si>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</si>
  <si>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</si>
  <si>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</si>
  <si>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</si>
  <si>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</si>
  <si>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</si>
  <si>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</si>
  <si>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</si>
  <si>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</si>
  <si>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</si>
  <si>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</si>
  <si>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</si>
  <si>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</si>
  <si>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</si>
  <si>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</si>
  <si>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</si>
  <si>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</si>
  <si>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</si>
  <si>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</si>
  <si>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</si>
  <si>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</si>
  <si>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</si>
  <si>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</si>
  <si>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</si>
  <si>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</si>
  <si>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</si>
  <si>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</si>
  <si>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</si>
  <si>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</si>
  <si>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</si>
  <si>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</si>
  <si>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</si>
  <si>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</si>
  <si>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</si>
  <si>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</si>
  <si>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</si>
  <si>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</si>
  <si>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</si>
  <si>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</si>
  <si>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</si>
  <si>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</si>
  <si>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</si>
  <si>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</si>
  <si>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</si>
  <si>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</si>
  <si>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</si>
  <si>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</si>
  <si>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</si>
  <si>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</si>
  <si>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</si>
  <si>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</si>
  <si>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</si>
  <si>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Środki z budżetu UE oraz Budżetu Państwa</t>
  </si>
  <si>
    <t>Środki budżetu Miasta</t>
  </si>
  <si>
    <t>Transport i łączność</t>
  </si>
  <si>
    <t>Drogi publiczne gminne</t>
  </si>
  <si>
    <t>Przebudowa ul. Kubiny</t>
  </si>
  <si>
    <t>Kultura fizyczna i sport</t>
  </si>
  <si>
    <t>Obiekty sportowe</t>
  </si>
  <si>
    <t>Rewaloryzacja infrastruktury OSiR Skałka w Świętochłowicach jako miejsca rekreacji i wypoczynku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</si>
  <si>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</si>
  <si>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</si>
  <si>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</si>
  <si>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</si>
  <si>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</si>
  <si>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</si>
  <si>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</si>
  <si>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</si>
  <si>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</si>
  <si>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</si>
  <si>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</si>
  <si>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</si>
  <si>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</si>
  <si>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</si>
  <si>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</si>
  <si>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</si>
  <si>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</si>
  <si>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</si>
  <si>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</si>
  <si>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</si>
  <si>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</si>
  <si>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</si>
  <si>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</si>
  <si>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</si>
  <si>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</si>
  <si>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</si>
  <si>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</si>
  <si>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</si>
  <si>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</si>
  <si>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</si>
  <si>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</si>
  <si>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</si>
  <si>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</si>
  <si>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</si>
  <si>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</si>
  <si>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</si>
  <si>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</si>
  <si>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</si>
  <si>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</si>
  <si>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</si>
  <si>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</si>
  <si>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</si>
  <si>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</si>
  <si>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</si>
  <si>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</si>
  <si>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</si>
  <si>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</si>
  <si>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</si>
  <si>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</si>
  <si>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</si>
  <si>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</si>
  <si>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</si>
  <si>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</si>
  <si>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</si>
  <si>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</si>
  <si>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</si>
  <si>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</si>
  <si>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</si>
  <si>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</si>
  <si>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</si>
  <si>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</si>
  <si>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</si>
  <si>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</si>
  <si>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</si>
  <si>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</si>
  <si>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</si>
  <si>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</si>
  <si>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</si>
  <si>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</si>
  <si>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</si>
  <si>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</si>
  <si>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</si>
  <si>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</si>
  <si>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</si>
  <si>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</si>
  <si>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</si>
  <si>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</si>
  <si>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</si>
  <si>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</si>
  <si>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</si>
  <si>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</si>
  <si>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</si>
  <si>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</si>
  <si>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</si>
  <si>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</si>
  <si>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</si>
  <si>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</si>
  <si>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</si>
  <si>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</si>
  <si>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</si>
  <si>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</si>
  <si>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</si>
  <si>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</si>
  <si>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</si>
  <si>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</si>
  <si>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</si>
  <si>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</si>
  <si>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</si>
  <si>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</si>
  <si>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>Nordea Bank 2010</t>
  </si>
  <si>
    <t>3.6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</si>
  <si>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</si>
  <si>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</si>
  <si>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</si>
  <si>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</si>
  <si>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</si>
  <si>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</si>
  <si>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</si>
  <si>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</si>
  <si>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</si>
  <si>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</si>
  <si>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</si>
  <si>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</si>
  <si>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</si>
  <si>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</si>
  <si>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</si>
  <si>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</si>
  <si>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</si>
  <si>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</si>
  <si>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</si>
  <si>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</si>
  <si>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</si>
  <si>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</si>
  <si>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</si>
  <si>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</si>
  <si>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</si>
  <si>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</si>
  <si>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</si>
  <si>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</si>
  <si>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</si>
  <si>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</si>
  <si>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</si>
  <si>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</si>
  <si>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</si>
  <si>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</si>
  <si>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</si>
  <si>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</si>
  <si>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</si>
  <si>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</si>
  <si>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</si>
  <si>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</si>
  <si>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</si>
  <si>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</si>
  <si>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</si>
  <si>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</si>
  <si>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</si>
  <si>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</si>
  <si>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</si>
  <si>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</si>
  <si>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</si>
  <si>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</si>
  <si>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</si>
  <si>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</si>
  <si>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</si>
  <si>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</si>
  <si>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</si>
  <si>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</si>
  <si>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</si>
  <si>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</si>
  <si>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</si>
  <si>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</si>
  <si>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</si>
  <si>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</si>
  <si>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</si>
  <si>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</si>
  <si>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</si>
  <si>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</si>
  <si>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</si>
  <si>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</si>
  <si>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</si>
  <si>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</si>
  <si>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</si>
  <si>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</si>
  <si>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</si>
  <si>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</si>
  <si>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</si>
  <si>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</si>
  <si>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</si>
  <si>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</si>
  <si>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</si>
  <si>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</si>
  <si>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</si>
  <si>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</si>
  <si>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</si>
  <si>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</si>
  <si>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</si>
  <si>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</si>
  <si>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</si>
  <si>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</si>
  <si>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</si>
  <si>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</si>
  <si>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</si>
  <si>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</si>
  <si>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</si>
  <si>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</si>
  <si>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</si>
  <si>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</si>
  <si>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</si>
  <si>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</si>
  <si>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</si>
  <si>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</si>
  <si>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/>
  </si>
  <si>
    <t>Wykonanie</t>
  </si>
  <si>
    <t>Promocja jednostek samorządu terytorialnego</t>
  </si>
  <si>
    <t>Gospodarka komunalna i ochrona środowiska</t>
  </si>
  <si>
    <t>Gospodarka odpadami</t>
  </si>
  <si>
    <t>Pozostala działalność</t>
  </si>
  <si>
    <t xml:space="preserve">Wykonanie </t>
  </si>
  <si>
    <r>
      <t>Kwota wyłączeń wynikająca z art. 169 ust. 3 pkt 1</t>
    </r>
    <r>
      <rPr>
        <sz val="14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</si>
  <si>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4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</si>
  <si>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4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</si>
  <si>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4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</si>
  <si>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4"/>
        <rFont val="Arial"/>
        <family val="2"/>
        <charset val="238"/>
      </rPr>
      <t xml:space="preserve"> poręczenia i gwarancje (– O)</t>
    </r>
  </si>
  <si>
    <t>Centra integracji społecznej</t>
  </si>
  <si>
    <t>Centrum Integracji Społecznej</t>
  </si>
  <si>
    <t>2014 -</t>
  </si>
  <si>
    <t>2015 -</t>
  </si>
  <si>
    <t>pożyczka jessica</t>
  </si>
  <si>
    <t>kredyt jessica 2013</t>
  </si>
  <si>
    <t>Kultura fizyczna</t>
  </si>
  <si>
    <t xml:space="preserve">Środki budżetu Miasta </t>
  </si>
  <si>
    <t>spłata pożyczek i kredytów</t>
  </si>
  <si>
    <t xml:space="preserve">nadwyżki budżetowej </t>
  </si>
  <si>
    <t xml:space="preserve">Zespół Opieki Zdrowotnej w Świętochłowicach spólka z o. o. </t>
  </si>
  <si>
    <t>Pozostałe zadania w zakresie polityki spolecznej</t>
  </si>
  <si>
    <t>Innowacyjne wsparcie dla ciebie</t>
  </si>
  <si>
    <t>Powiatowy Urząd Pracy</t>
  </si>
  <si>
    <t>Drogi publiczne wojewódzkie</t>
  </si>
  <si>
    <t>Obsługa komunikacyjna terenów przemysłowych w Świętochłowicach usytuowanych po południowej stronie DTŚ w rejonie stawu Marcina</t>
  </si>
  <si>
    <t xml:space="preserve">Środki z budżetu UE </t>
  </si>
  <si>
    <t>Środki zewnętrzne: z budżetu UE, Budżetu Państwa, inne</t>
  </si>
  <si>
    <t>Aktywny i twórczy senior</t>
  </si>
  <si>
    <t>Ośrodek Pomocy Społecznej</t>
  </si>
  <si>
    <t>Gospodarka komunalna</t>
  </si>
  <si>
    <t>Oczyszczanie miast i wsi</t>
  </si>
  <si>
    <t>Oczyszczanie miasta w tym: letnie oczyszczanie miasta, czyszczenie i remonty kanalizacji deszczowej</t>
  </si>
  <si>
    <t>Urząd Miejski w Świętochłowicach                              Wydział Dróg i Mostów</t>
  </si>
  <si>
    <t>Urząd Miejski w Świętochłowicach                                   Wydział Dróg i Mostów</t>
  </si>
  <si>
    <t>Wydatki poniesione                                                         w latach poprzednich</t>
  </si>
  <si>
    <t>Współfinansowanie                                       z budżetu Państwa</t>
  </si>
  <si>
    <t>Współfinansowanie                                    z budżetu Miasta</t>
  </si>
  <si>
    <t>Współfinansowanie                        z budżetu Państwa</t>
  </si>
  <si>
    <t>Srodki budżetu miasta</t>
  </si>
  <si>
    <t>Współfinansowanie                                 z budżetu Państwa</t>
  </si>
  <si>
    <t>Współfinansowanie                                     z budżetu Państwa</t>
  </si>
  <si>
    <t xml:space="preserve">Środki                            z budżetu Państwa </t>
  </si>
  <si>
    <t>Środki                        z budżetu Państwa</t>
  </si>
  <si>
    <t>Centrum Integracji Społecznej - nowe szanse                                                                      i możliwości</t>
  </si>
  <si>
    <t>Umowa poręczenia zawarta pomiędzy Wojewódzkim Funduszem Ochrony Środowiska i Gospodarki Wodnej                                                         a Miastem Świętochłowice na zabezpieczenie pożyczki</t>
  </si>
  <si>
    <t>Obsługa komunikacyjna terenów przemysłowych w Świętochłowicach usytuowanych w rejonie ulicy Zielonej w dzielnicy Zgoda - I etap</t>
  </si>
  <si>
    <t>wg klasyfikacji</t>
  </si>
  <si>
    <t>Utrzymanie dróg gminnych wojewódzkich, powiatowych</t>
  </si>
  <si>
    <t>Dowożenie uczniów do szkół</t>
  </si>
  <si>
    <t>Dowóz uczniów niepełnosprawnych wraz z opiekunem do placówek oświatowych</t>
  </si>
  <si>
    <t>Urząd Miejski w Świętochłowicach                                   Wydział Edukacji</t>
  </si>
  <si>
    <t>"Mamo pomożemy ci wrócić do pracy"</t>
  </si>
  <si>
    <t>Zespół Opieki nad Dziećmi do lat 3</t>
  </si>
  <si>
    <t>Pozostałe zadania w zakresie polityki społecznej</t>
  </si>
  <si>
    <t>Żłobki</t>
  </si>
  <si>
    <t>Kluby dziecięce</t>
  </si>
  <si>
    <t>Utrzymanie czystości i porządku na terenie miasta Świętochłowice</t>
  </si>
  <si>
    <t>Urząd Miejski w Świętochłowicach                     Wydział Gospodarki Miejskiej i Ekologii, Wydział Dróg i Mostów</t>
  </si>
  <si>
    <t>Ochrona zdrowia</t>
  </si>
  <si>
    <t>Szpitale ogólne</t>
  </si>
  <si>
    <t>Urząd Miejski w Świętochłowicach 
Wydział Nadzoru Właścicielskiego i Zdrowia</t>
  </si>
  <si>
    <t>Urząd Miejski w Świętochłowicach                                   Wydział Finansowy</t>
  </si>
  <si>
    <t>"Mam zawód - mam pracę w regionie"</t>
  </si>
  <si>
    <t>Środki budżetu Miasta i Państwa</t>
  </si>
  <si>
    <t>Rewitalizacja kąpieliska miejskiego w technologii naturalnego stawu, na bazie nieużytkowanego basenu na terenie OSiR Skalka - etap I</t>
  </si>
  <si>
    <t>Gospodarka mieszkaniowa</t>
  </si>
  <si>
    <t>Środki budżetu Państwa 
i budżetu Miasta</t>
  </si>
  <si>
    <t>Pokrycie przejętych zobowiązań od ZOZ przekształconego w spółkę (składki ZUS)</t>
  </si>
  <si>
    <t xml:space="preserve">2014 - </t>
  </si>
  <si>
    <t>Srodki budżetu Miasta</t>
  </si>
  <si>
    <t xml:space="preserve">Pokrycie przejętych zobowiązań od ZOZ przekształconego w spółkę. Umowa przejęcia długu od SP ZOZ zawarta z Bankiem Spółdzielczym </t>
  </si>
  <si>
    <t>Pokrycie przejętych zobowiązań od ZOZ przekształconego w spółkę. Umowa przejęcia długu od SP ZOZ zawarta z Nordea Bank Polska S.A.</t>
  </si>
  <si>
    <t>Zwrotne środki budżetu UE</t>
  </si>
  <si>
    <t>1.15</t>
  </si>
  <si>
    <t>pożyczka JESSICA 2013-2014</t>
  </si>
  <si>
    <t>Prognozowana kwota długu Miasta Świętochłowice na koniec  2013 oraz na lata następne</t>
  </si>
  <si>
    <t>Zaciągnięte i planowane do zaciągnięcia w roku 2012</t>
  </si>
  <si>
    <t>Planowane do zaciągnięcia w 2013 roku</t>
  </si>
  <si>
    <t>pożyczka na projekt Jessica</t>
  </si>
  <si>
    <t>Zaciągnięte i planowane w 2012</t>
  </si>
  <si>
    <t>Kredyt na projekt Jessica 2013-2014</t>
  </si>
  <si>
    <t>Planowane spłaty zobowiązań Miasta Świętochłowice w 2013 oraz latach następnych</t>
  </si>
  <si>
    <t>1.2.6</t>
  </si>
  <si>
    <t>2013-2014</t>
  </si>
  <si>
    <t>2014</t>
  </si>
  <si>
    <t>2015</t>
  </si>
  <si>
    <t>kredyt na projekt Jessica</t>
  </si>
  <si>
    <t xml:space="preserve">Pożyczki </t>
  </si>
  <si>
    <t>Wykup papierów wartościowych</t>
  </si>
  <si>
    <t>Planowane do zaciągnięcia</t>
  </si>
  <si>
    <t>Planowane w 2013</t>
  </si>
  <si>
    <t xml:space="preserve">Zobowiązania przejęte od przeksztalcanego w spółkę SP ZOZ </t>
  </si>
  <si>
    <t>Umowa poręczenia zawarta pomiędzy Bankiem Spółdzielczym w Gliwicach a Miastem Świętochłowice na zabezpieczenie kredytu złotowego dla ZOZ sp. z o.o.</t>
  </si>
  <si>
    <t>Umowa poręczenia zawarta pomiędzy Wojewódzkim Funduszem Ochrony Środowiska i Gospodarki Wodnej a Miastem Świętochłowice na zabezpieczenie pożyczki</t>
  </si>
  <si>
    <t>w tym: zaciągnięcie długu (wg prognozy kwoty długu)</t>
  </si>
  <si>
    <t>prywatyzacji majątku</t>
  </si>
  <si>
    <t>spłata pożyczki(ek) udzielonej(ych)</t>
  </si>
  <si>
    <r>
      <t xml:space="preserve">warunek L </t>
    </r>
    <r>
      <rPr>
        <b/>
        <sz val="20"/>
        <rFont val="Calibri"/>
        <family val="2"/>
        <charset val="238"/>
      </rPr>
      <t xml:space="preserve">≤ </t>
    </r>
    <r>
      <rPr>
        <b/>
        <sz val="20"/>
        <rFont val="Arial"/>
        <family val="2"/>
        <charset val="238"/>
      </rPr>
      <t>P</t>
    </r>
  </si>
  <si>
    <t>Rozliczenie budżetu</t>
  </si>
  <si>
    <t>rozdział</t>
  </si>
  <si>
    <t>Załącznik Nr 3                                                                                     do Uchwały Rady Miejskiej Nr XXVII/317/12                                                           z dnia 19 grudnia 2012 r.</t>
  </si>
  <si>
    <t xml:space="preserve">Tabela nr 2 do Uchwały Nr XXVII/317/12 Rady Miejskiej w Świętochłowicach z dnia 19 grudnia 2012 r.
do projektu Uchwały Nr XIV / 168 / 11 Rady Miejskiej w Świętochłowicach  z dnia 21 grudnia 2011 roku w sprawie Wieloletniej Prognozy Finansowej Miasta Świętochłowice na lata 2012–2023
</t>
  </si>
  <si>
    <t xml:space="preserve">Tabela nr 3 do Uchwały Nr XXVII/317/12 Rady Miejskiej w Świętochłowicach z dnia 19 grudnia 2012 r.
do Uchwały Nr XIV / 168 / 11 Rady Miejskiej w Świętochłowicach z dnia 21 grudnia 2011 roku w sprawie Wieloletniej Prognozy Finansowej Miasta Świętochłowice na lata 2012–2023
</t>
  </si>
  <si>
    <t>"Kierunek - Praca"</t>
  </si>
  <si>
    <t>"Dojrzały Profesjonalizm"</t>
  </si>
  <si>
    <t>Współfinansowanie z Budżetu Państwa</t>
  </si>
  <si>
    <t>"Stawiamy na jakość IV"</t>
  </si>
  <si>
    <t>Srodki z budżetu UE</t>
  </si>
  <si>
    <t>Gospodarka Komunalna i ochrona środowiska</t>
  </si>
  <si>
    <t>Budowa targowiska miejskiego przy ul. Dworcowej w Świętochłowicach</t>
  </si>
  <si>
    <t>Urząd Miejski w Świętochłowicach Wydział Gospodarki Miejskiej i Ekologii</t>
  </si>
  <si>
    <t>Załącznik Nr 2 do Uchwały Nr XXVIII/332/13 Rady Miejskiej w Świętochłowicach z dnia 16 stycznia 2013 r. w sprawie zmiany Uchwały Nr XXVII/317/12 Rady Miejskiej w Świętochłowicach z dnia 19 grudnia 2012 r. w sprawie Wieloletniej Prognozy Finansowej Miasta Świętochłowice na lata 2013-2027</t>
  </si>
  <si>
    <t>BOŚ Bank 2008</t>
  </si>
  <si>
    <t>ING Bank 2009</t>
  </si>
  <si>
    <t>NORDEA 2012</t>
  </si>
  <si>
    <t>Dobudowa dźwigu dla niepełnosprawnych do budynku UM przy ul. Katowickiej 54</t>
  </si>
  <si>
    <t>Zaprojektowanie i wykonanie stałej ekspozycji Muzeum Powstań Śląskich</t>
  </si>
  <si>
    <t>Promocja Integracji Społecznej</t>
  </si>
  <si>
    <t>Środki Budżetu Państwa, inne</t>
  </si>
  <si>
    <t xml:space="preserve">Utrzymanie czystości i porządku w mieście oraz odbiór i zagospodarowanie odpadów komunalnych z terenu miasta </t>
  </si>
  <si>
    <t>Centra Integracji Społecznej</t>
  </si>
  <si>
    <t>CIS</t>
  </si>
  <si>
    <t>Środki budżetu Miasta, państwa</t>
  </si>
  <si>
    <t>Kierunek Przedsiębiorczość</t>
  </si>
  <si>
    <t>NOWE PORĘCZENIE KREDYT DLA ZOZ</t>
  </si>
  <si>
    <t>gdzie poszczególne symbole oznaczają:</t>
  </si>
  <si>
    <t>R -</t>
  </si>
  <si>
    <t>planowaną na rok budżetowy łączną kwotę z tytułu spłaty rat kredytów i pożyczek, o których mowa w art. 89 ust. 1 pkt 2-4 oraz art. 90, oraz wykupów papierów wartościowych emitowanych na cele określone w art. 89 ust. 1 pkt 2-4 oraz art. 90,</t>
  </si>
  <si>
    <t>O -</t>
  </si>
  <si>
    <t>planowane na rok budżetowy odsetki od kredytów i pożyczek, o których mowa w art. 89 ust. 1 i art. 90, odsetki i dyskonto od papierów wartościowych emitowanych na cele określone w art. 89 ust. 1 i art. 90 oraz spłaty kwot wynikających z udzielonych poręczeń i gwarancji,</t>
  </si>
  <si>
    <t>D -</t>
  </si>
  <si>
    <t>dochody ogółem budżetu w danym roku budżetowym,</t>
  </si>
  <si>
    <t>Db -</t>
  </si>
  <si>
    <t>dochody bieżące,</t>
  </si>
  <si>
    <t>Sm -</t>
  </si>
  <si>
    <t>dochody ze sprzedaży majątku,</t>
  </si>
  <si>
    <t>Wb -</t>
  </si>
  <si>
    <t>wydatki bieżące,</t>
  </si>
  <si>
    <t>n -</t>
  </si>
  <si>
    <t>rok budżetowy, na który ustalana jest relacja,</t>
  </si>
  <si>
    <t>n-1 -</t>
  </si>
  <si>
    <t>rok poprzedzający rok budżetowy, na który ustalana jest relacja,</t>
  </si>
  <si>
    <t>n-2 -</t>
  </si>
  <si>
    <t>rok poprzedzający rok budżetowy o dwa lata,</t>
  </si>
  <si>
    <t>n-3 -</t>
  </si>
  <si>
    <t>rok poprzedzający rok budżetowy o trzy lata.</t>
  </si>
  <si>
    <t>R raty długu</t>
  </si>
  <si>
    <t>D dochody ogółem</t>
  </si>
  <si>
    <t>Db Dochody bieżące</t>
  </si>
  <si>
    <t xml:space="preserve">Wb Wydatki bieżące </t>
  </si>
  <si>
    <t>Sm sprzedaż majątku</t>
  </si>
  <si>
    <t>≤</t>
  </si>
  <si>
    <t>Wydatki na zobowiązania przejęte od ZOZ</t>
  </si>
  <si>
    <t>O odsetki + poręczenia</t>
  </si>
  <si>
    <t>Administracja publicza</t>
  </si>
  <si>
    <t>Promocja jst</t>
  </si>
  <si>
    <t>Zintegrowane podejście do problemów obszarów funkcjonalnych na przykładzie Chorzowa, Rudy Ślaskiej i Świętochłowic</t>
  </si>
  <si>
    <t>Zintegrowane podejście do problemów obszarów funkcjonalnych na przykładzie Chorzowa, Rudy Śl., i Świętochłowic</t>
  </si>
  <si>
    <t>UM Wydział Funduszy Europejskich i Promocji Miasta</t>
  </si>
  <si>
    <t>Wydział Obsługi Mieszkańców</t>
  </si>
  <si>
    <t>urzędy miast i gmin</t>
  </si>
  <si>
    <t>Budowa kotłowni gazowej w budynku przy ul. Bytomskiej 8</t>
  </si>
  <si>
    <t>Leonardo da Vinci</t>
  </si>
  <si>
    <t>PUP</t>
  </si>
  <si>
    <t>WYCENY NIERUCHOMOSCI</t>
  </si>
  <si>
    <t>Wydz. Gospodarki nieruchomościami</t>
  </si>
  <si>
    <t>Drogi powiatowe</t>
  </si>
  <si>
    <t>Przebudowa ul. Chorzowskiej w Ś-cach na odcinku od skrzyżowania z ul. Bieszczadzką do granic miasta Chorzowa</t>
  </si>
  <si>
    <t>Wpływy i wydatki związane z gromadzenem środków z opłat i kar</t>
  </si>
  <si>
    <t>Budowa placów zabaw na terenie miasta</t>
  </si>
  <si>
    <t>Szkoly podstawowe</t>
  </si>
  <si>
    <t>Przebudowa boisk sportowych wraz z oświetleniem przy SP nr 1</t>
  </si>
  <si>
    <t>Kultura i ochrona dziedzictwa</t>
  </si>
  <si>
    <t>Ochrona zabytków</t>
  </si>
  <si>
    <t>Rewitalizacja i adaptacja na cele kulturalne zabytkowych wież wyciągowych dawnej kopalni "Polska"</t>
  </si>
  <si>
    <t>kredyt</t>
  </si>
  <si>
    <t xml:space="preserve">Wysokość zobowiązań </t>
  </si>
  <si>
    <t>Dobudowa windy dla niepełnosprawnych ZSO nr 2</t>
  </si>
  <si>
    <t>Przebudowa budynku po Szkole Podstawowej Nr 4 przy ul. Szkolnej na budynek mieszkalny w Świętochłowicach</t>
  </si>
  <si>
    <t>Remont i przebudowa budynku przy ul. Polaka 1 z dostosowaniem dla potrzeb Muzeum Miejskiego</t>
  </si>
  <si>
    <t xml:space="preserve">Nazwa zadania </t>
  </si>
  <si>
    <t xml:space="preserve">Budżet Państwa </t>
  </si>
  <si>
    <t>Unia Europejska</t>
  </si>
  <si>
    <t xml:space="preserve">Pożyczka </t>
  </si>
  <si>
    <t>Kredyt</t>
  </si>
  <si>
    <t>Wkład własny</t>
  </si>
  <si>
    <t>Pożyczka z WFOś</t>
  </si>
  <si>
    <t>Remont i przebudowa budynku przy ul. Polaka 1                                    z dostosowaniem dla potrzeb Muzeum Miejskiego</t>
  </si>
  <si>
    <t>Przebudowa budynku po Szkole Podstawowej Nr 4 przy ul. Szkolnej na budynek mieszkalny  w Świętochłowicach</t>
  </si>
  <si>
    <t>Urząd Miejski w Świętochlowicach Wydział Inwestycji i Remontów</t>
  </si>
  <si>
    <t xml:space="preserve"> Urząd Miejski w Świętochlowicach Wydział Dróg i Mostów</t>
  </si>
  <si>
    <t>Urząd Miejski w Świętochlowicach Referat Informatyki</t>
  </si>
  <si>
    <t>Urząd Miejski w Świętochlowicach Wydział Gospodarki Miejskiej i Ekologii</t>
  </si>
  <si>
    <t>Urząd Miejski w Świętochlowicach Wydział Dróg i Mostów</t>
  </si>
  <si>
    <t>Urząd Miejski w Świętochłowicach Wydział Edukacji</t>
  </si>
  <si>
    <t>Urząd Miejski w Świętochlowicach Wydzial Inwestycji i Remontów</t>
  </si>
  <si>
    <t>Urząd Miejski w Świętochlowicach  Wydzial Inwestycji i Remontów</t>
  </si>
  <si>
    <t>Urząd Miejski w Świętochłowicach  Wydzial Kultury, Sportu i Spraw Spolecznych</t>
  </si>
  <si>
    <t>Urząd Miejski w Świętochłowicach Wydzial Funduszy Europejskich i Promoji Miasta</t>
  </si>
  <si>
    <t>Urząd Miejski w Świętochłowicach Wydzial Inwestycji i Spraw Komunalnych</t>
  </si>
  <si>
    <t>Urząd Miejski w Świętochłowicach Wydzial Inwestycji i Remontów</t>
  </si>
  <si>
    <t>Urząd Miejski w Świętochłowicach  Wydzial Inwestycji</t>
  </si>
  <si>
    <t>Urząd Miejski w Świętochłowicach Wydzial Architektury i Gospodarki Przestrzennej</t>
  </si>
  <si>
    <t>w tym przychody pożyczka i kredyt</t>
  </si>
  <si>
    <t>wersja na 30.04.2014 r.</t>
  </si>
  <si>
    <t>środki z pożyczek i kredytu</t>
  </si>
  <si>
    <t>Środki Budżetu Państwa</t>
  </si>
  <si>
    <t>wydatki majątkowe na przedsięwzięcia, o których mowa w art. 226 ust. 4 </t>
  </si>
  <si>
    <t>w tym:
na przedsięwzięcia związane z udzielanymi przez jednostkę samorządu terytorialnego gwarancjami i poręczeniami</t>
  </si>
  <si>
    <t xml:space="preserve">wydatki bieżące na przedsięwzięcia, o których mowa w art. 226 ust. 4 pkt 1 i 2 </t>
  </si>
  <si>
    <t>Relacja z art. 243 ustawy o finansach publicznych</t>
  </si>
  <si>
    <t>Limity zadłużenia – obowiązujące do końca  2013 r.</t>
  </si>
  <si>
    <t>Wieloletnia Prognoza Finansowa - dane ogólne</t>
  </si>
  <si>
    <t>Dochody bieżące – wydatki bieżące pomniejszone o wydatki na spłatę za ZOZ (do 2015 r.)</t>
  </si>
  <si>
    <t>Dochody bieżące wraz z wolnymi środkami – wydatki bieżące pomniejszone o wydatki na spłatę za ZOZ (do 2015 r.)</t>
  </si>
  <si>
    <t>w tym spłata długu</t>
  </si>
  <si>
    <t>rok</t>
  </si>
  <si>
    <r>
      <t xml:space="preserve">Załącznik nr 1 </t>
    </r>
    <r>
      <rPr>
        <sz val="24"/>
        <rFont val="Arial"/>
        <family val="2"/>
        <charset val="238"/>
      </rPr>
      <t>do Uchwały Rady Miejskiej                                   Nr IV/20/14 z dnia 19.12.2014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</si>
</sst>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8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36"/>
      <name val="Arial"/>
      <family val="2"/>
      <charset val="238"/>
    </font>
    <font>
      <b/>
      <sz val="8"/>
      <name val="Arial"/>
      <family val="2"/>
      <charset val="238"/>
    </font>
    <font>
      <sz val="9"/>
      <color rgb="FF000000"/>
      <name val="Czcionka tekstu podstawowego"/>
      <charset val="238"/>
    </font>
    <font>
      <i/>
      <sz val="10"/>
      <color rgb="FF000000"/>
      <name val="Czcionka tekstu podstawowego"/>
      <charset val="238"/>
    </font>
    <font>
      <i/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20"/>
      <color theme="0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name val="Calibri"/>
      <family val="2"/>
      <charset val="238"/>
    </font>
    <font>
      <sz val="48"/>
      <name val="Arial"/>
      <family val="2"/>
      <charset val="238"/>
    </font>
    <font>
      <sz val="18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2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</fonts>
  <fills count="8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F3F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57A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rgb="FFFFB4E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rgb="FFC00000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rgb="FFC00000"/>
      </right>
      <top style="thin">
        <color auto="1"/>
      </top>
      <bottom style="thin">
        <color auto="1"/>
      </bottom>
      <diagonal/>
    </border>
    <border>
      <left/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  <border diagonalUp="1" diagonalDown="1"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542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5" borderId="3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5" fillId="25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0" borderId="3" xfId="0" applyNumberFormat="1" applyFont="1" applyFill="1" applyBorder="1" applyAlignment="1">
      <alignment vertical="center" wrapText="1"/>
    </xf>
    <xf numFmtId="43" fontId="15" fillId="20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0" borderId="0" xfId="0" applyFont="1" applyFill="1" applyBorder="1" applyAlignment="1">
      <alignment horizontal="center" vertical="center"/>
    </xf>
    <xf numFmtId="3" fontId="15" fillId="2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0" borderId="0" xfId="0" applyFont="1" applyFill="1" applyBorder="1" applyAlignment="1" applyProtection="1">
      <alignment horizontal="center" vertical="center"/>
      <protection hidden="1"/>
    </xf>
    <xf numFmtId="0" fontId="11" fillId="2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0" borderId="0" xfId="0" applyFont="1" applyFill="1" applyBorder="1" applyAlignment="1" applyProtection="1">
      <alignment horizontal="right" vertical="center"/>
      <protection hidden="1"/>
    </xf>
    <xf numFmtId="0" fontId="10" fillId="20" borderId="0" xfId="0" applyFont="1" applyFill="1" applyBorder="1" applyAlignment="1" applyProtection="1">
      <alignment horizontal="center" vertical="center" wrapText="1"/>
      <protection hidden="1"/>
    </xf>
    <xf numFmtId="0" fontId="10" fillId="20" borderId="0" xfId="0" applyFont="1" applyFill="1" applyBorder="1" applyAlignment="1" applyProtection="1">
      <alignment horizontal="center" vertical="center" wrapText="1" shrinkToFit="1"/>
      <protection hidden="1"/>
    </xf>
    <xf numFmtId="0" fontId="11" fillId="20" borderId="0" xfId="0" applyFont="1" applyFill="1" applyBorder="1" applyAlignment="1" applyProtection="1">
      <alignment horizontal="center"/>
      <protection hidden="1"/>
    </xf>
    <xf numFmtId="0" fontId="11" fillId="20" borderId="0" xfId="0" applyFont="1" applyFill="1" applyBorder="1" applyAlignment="1" applyProtection="1">
      <alignment horizontal="right"/>
      <protection hidden="1"/>
    </xf>
    <xf numFmtId="0" fontId="11" fillId="20" borderId="0" xfId="0" applyFont="1" applyFill="1" applyBorder="1" applyAlignment="1" applyProtection="1">
      <alignment horizontal="center" vertical="center" wrapText="1"/>
      <protection hidden="1"/>
    </xf>
    <xf numFmtId="43" fontId="10" fillId="20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0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8" borderId="59" xfId="0" applyFont="1" applyFill="1" applyBorder="1" applyAlignment="1" applyProtection="1">
      <alignment horizontal="center" vertical="center" wrapText="1"/>
      <protection hidden="1"/>
    </xf>
    <xf numFmtId="0" fontId="17" fillId="28" borderId="1" xfId="0" applyFont="1" applyFill="1" applyBorder="1" applyAlignment="1" applyProtection="1">
      <alignment horizontal="center" vertical="center" wrapText="1"/>
      <protection hidden="1"/>
    </xf>
    <xf numFmtId="4" fontId="17" fillId="28" borderId="61" xfId="0" applyNumberFormat="1" applyFont="1" applyFill="1" applyBorder="1" applyAlignment="1" applyProtection="1">
      <alignment vertical="center" wrapText="1"/>
      <protection hidden="1"/>
    </xf>
    <xf numFmtId="4" fontId="17" fillId="28" borderId="13" xfId="0" applyNumberFormat="1" applyFont="1" applyFill="1" applyBorder="1" applyAlignment="1" applyProtection="1">
      <alignment vertical="center" wrapText="1"/>
      <protection hidden="1"/>
    </xf>
    <xf numFmtId="4" fontId="17" fillId="28" borderId="1" xfId="0" applyNumberFormat="1" applyFont="1" applyFill="1" applyBorder="1" applyAlignment="1" applyProtection="1">
      <alignment vertical="center" wrapText="1"/>
      <protection hidden="1"/>
    </xf>
    <xf numFmtId="4" fontId="17" fillId="28" borderId="62" xfId="0" applyNumberFormat="1" applyFont="1" applyFill="1" applyBorder="1" applyAlignment="1" applyProtection="1">
      <alignment vertical="center" wrapText="1"/>
      <protection hidden="1"/>
    </xf>
    <xf numFmtId="4" fontId="17" fillId="28" borderId="0" xfId="0" applyNumberFormat="1" applyFont="1" applyFill="1" applyBorder="1" applyAlignment="1" applyProtection="1">
      <alignment vertical="center" wrapText="1"/>
      <protection hidden="1"/>
    </xf>
    <xf numFmtId="0" fontId="17" fillId="29" borderId="59" xfId="0" applyFont="1" applyFill="1" applyBorder="1" applyAlignment="1" applyProtection="1">
      <alignment horizontal="left" vertical="center"/>
      <protection hidden="1"/>
    </xf>
    <xf numFmtId="0" fontId="17" fillId="29" borderId="1" xfId="0" applyFont="1" applyFill="1" applyBorder="1" applyAlignment="1" applyProtection="1">
      <alignment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/>
      <protection hidden="1"/>
    </xf>
    <xf numFmtId="0" fontId="17" fillId="20" borderId="59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0" borderId="1" xfId="0" applyNumberFormat="1" applyFont="1" applyFill="1" applyBorder="1" applyAlignment="1" applyProtection="1">
      <alignment horizontal="right" vertical="center"/>
      <protection hidden="1"/>
    </xf>
    <xf numFmtId="0" fontId="17" fillId="20" borderId="1" xfId="0" applyNumberFormat="1" applyFont="1" applyFill="1" applyBorder="1" applyAlignment="1" applyProtection="1">
      <alignment horizontal="center" vertical="center"/>
      <protection hidden="1"/>
    </xf>
    <xf numFmtId="0" fontId="17" fillId="20" borderId="1" xfId="0" applyFont="1" applyFill="1" applyBorder="1" applyAlignment="1" applyProtection="1">
      <alignment vertical="center" wrapText="1"/>
      <protection hidden="1"/>
    </xf>
    <xf numFmtId="0" fontId="19" fillId="20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29" borderId="59" xfId="0" applyFont="1" applyFill="1" applyBorder="1" applyAlignment="1" applyProtection="1">
      <alignment horizontal="left" vertical="center"/>
      <protection hidden="1"/>
    </xf>
    <xf numFmtId="0" fontId="20" fillId="20" borderId="1" xfId="0" applyFont="1" applyFill="1" applyBorder="1" applyAlignment="1" applyProtection="1">
      <alignment vertical="center" wrapText="1"/>
      <protection hidden="1"/>
    </xf>
    <xf numFmtId="0" fontId="17" fillId="29" borderId="1" xfId="0" applyFont="1" applyFill="1" applyBorder="1" applyAlignment="1" applyProtection="1">
      <alignment vertical="center"/>
      <protection hidden="1"/>
    </xf>
    <xf numFmtId="0" fontId="17" fillId="29" borderId="63" xfId="0" applyFont="1" applyFill="1" applyBorder="1" applyAlignment="1" applyProtection="1">
      <alignment vertical="center"/>
      <protection hidden="1"/>
    </xf>
    <xf numFmtId="4" fontId="17" fillId="29" borderId="61" xfId="0" applyNumberFormat="1" applyFont="1" applyFill="1" applyBorder="1" applyAlignment="1" applyProtection="1">
      <alignment vertical="center"/>
      <protection hidden="1"/>
    </xf>
    <xf numFmtId="4" fontId="17" fillId="29" borderId="13" xfId="0" applyNumberFormat="1" applyFont="1" applyFill="1" applyBorder="1" applyAlignment="1" applyProtection="1">
      <alignment vertical="center"/>
      <protection hidden="1"/>
    </xf>
    <xf numFmtId="4" fontId="17" fillId="29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29" borderId="64" xfId="0" applyFont="1" applyFill="1" applyBorder="1" applyAlignment="1" applyProtection="1">
      <alignment horizontal="left" vertical="center"/>
      <protection hidden="1"/>
    </xf>
    <xf numFmtId="0" fontId="17" fillId="29" borderId="65" xfId="0" applyFont="1" applyFill="1" applyBorder="1" applyAlignment="1" applyProtection="1">
      <alignment vertical="center" wrapText="1"/>
      <protection hidden="1"/>
    </xf>
    <xf numFmtId="0" fontId="17" fillId="29" borderId="66" xfId="0" applyFont="1" applyFill="1" applyBorder="1" applyAlignment="1" applyProtection="1">
      <alignment vertical="center"/>
      <protection hidden="1"/>
    </xf>
    <xf numFmtId="4" fontId="17" fillId="29" borderId="67" xfId="0" applyNumberFormat="1" applyFont="1" applyFill="1" applyBorder="1" applyAlignment="1" applyProtection="1">
      <alignment vertical="center"/>
      <protection hidden="1"/>
    </xf>
    <xf numFmtId="4" fontId="17" fillId="29" borderId="68" xfId="0" applyNumberFormat="1" applyFont="1" applyFill="1" applyBorder="1" applyAlignment="1" applyProtection="1">
      <alignment vertical="center"/>
      <protection hidden="1"/>
    </xf>
    <xf numFmtId="4" fontId="17" fillId="29" borderId="65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7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8" borderId="62" xfId="0" applyNumberFormat="1" applyFont="1" applyFill="1" applyBorder="1" applyAlignment="1" applyProtection="1">
      <alignment horizontal="right" vertical="center" wrapText="1"/>
      <protection hidden="1"/>
    </xf>
    <xf numFmtId="166" fontId="17" fillId="28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0" borderId="59" xfId="0" applyFont="1" applyFill="1" applyBorder="1" applyAlignment="1" applyProtection="1">
      <alignment horizontal="left" vertical="center"/>
      <protection hidden="1"/>
    </xf>
    <xf numFmtId="0" fontId="21" fillId="30" borderId="1" xfId="0" applyFont="1" applyFill="1" applyBorder="1" applyAlignment="1" applyProtection="1">
      <alignment vertical="center" wrapText="1"/>
      <protection hidden="1"/>
    </xf>
    <xf numFmtId="166" fontId="17" fillId="30" borderId="63" xfId="0" applyNumberFormat="1" applyFont="1" applyFill="1" applyBorder="1" applyAlignment="1" applyProtection="1">
      <alignment horizontal="right" vertical="center"/>
      <protection hidden="1"/>
    </xf>
    <xf numFmtId="0" fontId="17" fillId="20" borderId="69" xfId="0" applyFont="1" applyFill="1" applyBorder="1" applyAlignment="1" applyProtection="1">
      <alignment horizontal="left" vertical="center"/>
      <protection hidden="1"/>
    </xf>
    <xf numFmtId="0" fontId="17" fillId="20" borderId="14" xfId="0" applyFont="1" applyFill="1" applyBorder="1" applyAlignment="1" applyProtection="1">
      <alignment vertical="center" wrapText="1"/>
      <protection hidden="1"/>
    </xf>
    <xf numFmtId="166" fontId="17" fillId="20" borderId="14" xfId="0" applyNumberFormat="1" applyFont="1" applyFill="1" applyBorder="1" applyAlignment="1" applyProtection="1">
      <alignment horizontal="right" vertical="center"/>
      <protection hidden="1"/>
    </xf>
    <xf numFmtId="166" fontId="17" fillId="2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1" borderId="59" xfId="0" applyFont="1" applyFill="1" applyBorder="1" applyAlignment="1" applyProtection="1">
      <alignment horizontal="left" vertical="center"/>
      <protection hidden="1"/>
    </xf>
    <xf numFmtId="0" fontId="21" fillId="31" borderId="1" xfId="0" applyFont="1" applyFill="1" applyBorder="1" applyAlignment="1" applyProtection="1">
      <alignment vertical="center" wrapText="1"/>
      <protection hidden="1"/>
    </xf>
    <xf numFmtId="166" fontId="17" fillId="31" borderId="63" xfId="0" applyNumberFormat="1" applyFont="1" applyFill="1" applyBorder="1" applyAlignment="1" applyProtection="1">
      <alignment horizontal="right" vertical="center"/>
      <protection hidden="1"/>
    </xf>
    <xf numFmtId="0" fontId="17" fillId="32" borderId="59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3" xfId="0" applyNumberFormat="1" applyFont="1" applyFill="1" applyBorder="1" applyAlignment="1" applyProtection="1">
      <alignment horizontal="right" vertical="center"/>
      <protection hidden="1"/>
    </xf>
    <xf numFmtId="166" fontId="17" fillId="32" borderId="1" xfId="0" applyNumberFormat="1" applyFont="1" applyFill="1" applyBorder="1" applyAlignment="1" applyProtection="1">
      <alignment horizontal="right" vertical="center"/>
      <protection hidden="1"/>
    </xf>
    <xf numFmtId="166" fontId="17" fillId="32" borderId="15" xfId="0" applyNumberFormat="1" applyFont="1" applyFill="1" applyBorder="1" applyAlignment="1" applyProtection="1">
      <alignment horizontal="right" vertical="center"/>
      <protection hidden="1"/>
    </xf>
    <xf numFmtId="0" fontId="17" fillId="33" borderId="59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3" xfId="0" applyNumberFormat="1" applyFont="1" applyFill="1" applyBorder="1" applyAlignment="1" applyProtection="1">
      <alignment horizontal="right" vertical="center"/>
      <protection hidden="1"/>
    </xf>
    <xf numFmtId="166" fontId="17" fillId="33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59" xfId="0" applyFont="1" applyFill="1" applyBorder="1" applyAlignment="1" applyProtection="1">
      <alignment horizontal="left" vertical="center"/>
      <protection hidden="1"/>
    </xf>
    <xf numFmtId="0" fontId="21" fillId="21" borderId="1" xfId="0" applyFont="1" applyFill="1" applyBorder="1" applyAlignment="1" applyProtection="1">
      <alignment vertical="center" wrapText="1"/>
      <protection hidden="1"/>
    </xf>
    <xf numFmtId="166" fontId="17" fillId="21" borderId="63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166" fontId="17" fillId="21" borderId="15" xfId="0" applyNumberFormat="1" applyFont="1" applyFill="1" applyBorder="1" applyAlignment="1" applyProtection="1">
      <alignment horizontal="right" vertical="center"/>
      <protection hidden="1"/>
    </xf>
    <xf numFmtId="0" fontId="17" fillId="27" borderId="59" xfId="0" applyFont="1" applyFill="1" applyBorder="1" applyAlignment="1" applyProtection="1">
      <alignment horizontal="left" vertical="center"/>
      <protection hidden="1"/>
    </xf>
    <xf numFmtId="0" fontId="21" fillId="27" borderId="1" xfId="0" applyFont="1" applyFill="1" applyBorder="1" applyAlignment="1" applyProtection="1">
      <alignment vertical="center" wrapText="1"/>
      <protection hidden="1"/>
    </xf>
    <xf numFmtId="166" fontId="17" fillId="27" borderId="63" xfId="0" applyNumberFormat="1" applyFont="1" applyFill="1" applyBorder="1" applyAlignment="1" applyProtection="1">
      <alignment horizontal="right" vertical="center"/>
      <protection hidden="1"/>
    </xf>
    <xf numFmtId="166" fontId="17" fillId="27" borderId="1" xfId="0" applyNumberFormat="1" applyFont="1" applyFill="1" applyBorder="1" applyAlignment="1" applyProtection="1">
      <alignment horizontal="right" vertical="center"/>
      <protection hidden="1"/>
    </xf>
    <xf numFmtId="166" fontId="17" fillId="27" borderId="15" xfId="0" applyNumberFormat="1" applyFont="1" applyFill="1" applyBorder="1" applyAlignment="1" applyProtection="1">
      <alignment horizontal="right" vertical="center"/>
      <protection hidden="1"/>
    </xf>
    <xf numFmtId="0" fontId="17" fillId="34" borderId="59" xfId="0" applyFont="1" applyFill="1" applyBorder="1" applyAlignment="1" applyProtection="1">
      <alignment horizontal="left" vertical="center"/>
      <protection hidden="1"/>
    </xf>
    <xf numFmtId="0" fontId="17" fillId="34" borderId="1" xfId="0" applyFont="1" applyFill="1" applyBorder="1" applyAlignment="1" applyProtection="1">
      <alignment vertical="center" wrapText="1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0" fontId="17" fillId="35" borderId="59" xfId="0" applyFont="1" applyFill="1" applyBorder="1" applyAlignment="1" applyProtection="1">
      <alignment horizontal="left" vertical="center"/>
      <protection hidden="1"/>
    </xf>
    <xf numFmtId="0" fontId="17" fillId="35" borderId="1" xfId="0" applyFont="1" applyFill="1" applyBorder="1" applyAlignment="1" applyProtection="1">
      <alignment vertical="center" wrapText="1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36" borderId="59" xfId="0" applyFont="1" applyFill="1" applyBorder="1" applyAlignment="1" applyProtection="1">
      <alignment horizontal="left" vertical="center"/>
      <protection hidden="1"/>
    </xf>
    <xf numFmtId="0" fontId="17" fillId="36" borderId="3" xfId="0" applyFont="1" applyFill="1" applyBorder="1" applyAlignment="1" applyProtection="1">
      <alignment vertical="center" wrapText="1"/>
      <protection hidden="1"/>
    </xf>
    <xf numFmtId="166" fontId="17" fillId="36" borderId="70" xfId="0" applyNumberFormat="1" applyFont="1" applyFill="1" applyBorder="1" applyAlignment="1" applyProtection="1">
      <alignment horizontal="right" vertical="center"/>
      <protection hidden="1"/>
    </xf>
    <xf numFmtId="166" fontId="17" fillId="36" borderId="3" xfId="0" applyNumberFormat="1" applyFont="1" applyFill="1" applyBorder="1" applyAlignment="1" applyProtection="1">
      <alignment horizontal="right" vertical="center"/>
      <protection hidden="1"/>
    </xf>
    <xf numFmtId="0" fontId="17" fillId="37" borderId="59" xfId="0" applyFont="1" applyFill="1" applyBorder="1" applyAlignment="1" applyProtection="1">
      <alignment horizontal="left" vertical="center"/>
      <protection hidden="1"/>
    </xf>
    <xf numFmtId="0" fontId="17" fillId="37" borderId="1" xfId="0" applyFont="1" applyFill="1" applyBorder="1" applyAlignment="1" applyProtection="1">
      <alignment vertical="center" wrapText="1"/>
      <protection hidden="1"/>
    </xf>
    <xf numFmtId="166" fontId="17" fillId="37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38" borderId="59" xfId="0" applyFont="1" applyFill="1" applyBorder="1" applyAlignment="1" applyProtection="1">
      <alignment horizontal="left" vertical="center"/>
      <protection hidden="1"/>
    </xf>
    <xf numFmtId="0" fontId="17" fillId="38" borderId="1" xfId="0" applyFont="1" applyFill="1" applyBorder="1" applyAlignment="1" applyProtection="1">
      <alignment vertical="center" wrapText="1"/>
      <protection hidden="1"/>
    </xf>
    <xf numFmtId="166" fontId="17" fillId="38" borderId="63" xfId="0" applyNumberFormat="1" applyFont="1" applyFill="1" applyBorder="1" applyAlignment="1" applyProtection="1">
      <alignment horizontal="right"/>
      <protection hidden="1"/>
    </xf>
    <xf numFmtId="166" fontId="17" fillId="38" borderId="1" xfId="0" applyNumberFormat="1" applyFont="1" applyFill="1" applyBorder="1" applyAlignment="1" applyProtection="1">
      <alignment horizontal="right" vertical="center"/>
      <protection hidden="1"/>
    </xf>
    <xf numFmtId="0" fontId="17" fillId="39" borderId="59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3" xfId="0" applyNumberFormat="1" applyFont="1" applyFill="1" applyBorder="1" applyAlignment="1" applyProtection="1">
      <alignment horizontal="right" vertical="center"/>
      <protection hidden="1"/>
    </xf>
    <xf numFmtId="166" fontId="17" fillId="39" borderId="13" xfId="0" applyNumberFormat="1" applyFont="1" applyFill="1" applyBorder="1" applyAlignment="1" applyProtection="1">
      <alignment horizontal="right" vertical="center"/>
      <protection hidden="1"/>
    </xf>
    <xf numFmtId="0" fontId="17" fillId="40" borderId="59" xfId="0" applyFont="1" applyFill="1" applyBorder="1" applyAlignment="1" applyProtection="1">
      <alignment horizontal="left" vertical="center"/>
      <protection hidden="1"/>
    </xf>
    <xf numFmtId="166" fontId="17" fillId="40" borderId="63" xfId="0" applyNumberFormat="1" applyFont="1" applyFill="1" applyBorder="1" applyAlignment="1" applyProtection="1">
      <alignment horizontal="right"/>
      <protection hidden="1"/>
    </xf>
    <xf numFmtId="166" fontId="17" fillId="40" borderId="1" xfId="0" applyNumberFormat="1" applyFont="1" applyFill="1" applyBorder="1" applyAlignment="1" applyProtection="1">
      <alignment horizontal="right"/>
      <protection hidden="1"/>
    </xf>
    <xf numFmtId="0" fontId="17" fillId="41" borderId="59" xfId="0" applyFont="1" applyFill="1" applyBorder="1" applyAlignment="1" applyProtection="1">
      <alignment horizontal="left" vertical="center"/>
      <protection hidden="1"/>
    </xf>
    <xf numFmtId="0" fontId="17" fillId="41" borderId="1" xfId="0" applyFont="1" applyFill="1" applyBorder="1" applyAlignment="1" applyProtection="1">
      <alignment vertical="center" wrapText="1"/>
      <protection hidden="1"/>
    </xf>
    <xf numFmtId="166" fontId="17" fillId="41" borderId="63" xfId="0" applyNumberFormat="1" applyFont="1" applyFill="1" applyBorder="1" applyAlignment="1" applyProtection="1">
      <alignment horizontal="right" vertical="center"/>
      <protection hidden="1"/>
    </xf>
    <xf numFmtId="167" fontId="17" fillId="41" borderId="1" xfId="0" applyNumberFormat="1" applyFont="1" applyFill="1" applyBorder="1" applyAlignment="1" applyProtection="1">
      <alignment horizontal="right" vertical="center"/>
      <protection hidden="1"/>
    </xf>
    <xf numFmtId="0" fontId="17" fillId="42" borderId="64" xfId="0" applyFont="1" applyFill="1" applyBorder="1" applyAlignment="1" applyProtection="1">
      <alignment horizontal="left" vertical="center"/>
      <protection hidden="1"/>
    </xf>
    <xf numFmtId="0" fontId="17" fillId="42" borderId="65" xfId="0" applyFont="1" applyFill="1" applyBorder="1" applyAlignment="1" applyProtection="1">
      <alignment vertical="center" wrapText="1"/>
      <protection hidden="1"/>
    </xf>
    <xf numFmtId="166" fontId="17" fillId="42" borderId="66" xfId="0" applyNumberFormat="1" applyFont="1" applyFill="1" applyBorder="1" applyAlignment="1" applyProtection="1">
      <alignment horizontal="right" vertical="center"/>
      <protection hidden="1"/>
    </xf>
    <xf numFmtId="167" fontId="17" fillId="42" borderId="65" xfId="0" applyNumberFormat="1" applyFont="1" applyFill="1" applyBorder="1" applyAlignment="1" applyProtection="1">
      <alignment horizontal="right" vertical="center"/>
      <protection hidden="1"/>
    </xf>
    <xf numFmtId="167" fontId="22" fillId="42" borderId="6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99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99" xfId="0" applyFont="1" applyBorder="1" applyAlignment="1">
      <alignment horizontal="center"/>
    </xf>
    <xf numFmtId="0" fontId="26" fillId="0" borderId="100" xfId="0" applyFont="1" applyBorder="1"/>
    <xf numFmtId="49" fontId="28" fillId="43" borderId="101" xfId="0" applyNumberFormat="1" applyFont="1" applyFill="1" applyBorder="1" applyAlignment="1"/>
    <xf numFmtId="43" fontId="28" fillId="43" borderId="1" xfId="1" applyNumberFormat="1" applyFont="1" applyFill="1" applyBorder="1" applyAlignment="1"/>
    <xf numFmtId="43" fontId="28" fillId="43" borderId="1" xfId="0" applyNumberFormat="1" applyFont="1" applyFill="1" applyBorder="1" applyAlignment="1">
      <alignment horizontal="right"/>
    </xf>
    <xf numFmtId="43" fontId="28" fillId="43" borderId="15" xfId="1" applyNumberFormat="1" applyFont="1" applyFill="1" applyBorder="1" applyAlignment="1"/>
    <xf numFmtId="43" fontId="28" fillId="43" borderId="13" xfId="1" applyNumberFormat="1" applyFont="1" applyFill="1" applyBorder="1" applyAlignment="1"/>
    <xf numFmtId="43" fontId="28" fillId="43" borderId="102" xfId="1" applyNumberFormat="1" applyFont="1" applyFill="1" applyBorder="1" applyAlignment="1"/>
    <xf numFmtId="43" fontId="28" fillId="43" borderId="101" xfId="1" applyNumberFormat="1" applyFont="1" applyFill="1" applyBorder="1" applyAlignment="1"/>
    <xf numFmtId="43" fontId="28" fillId="43" borderId="102" xfId="0" applyNumberFormat="1" applyFont="1" applyFill="1" applyBorder="1" applyAlignment="1"/>
    <xf numFmtId="0" fontId="0" fillId="0" borderId="0" xfId="0" applyFill="1"/>
    <xf numFmtId="43" fontId="28" fillId="43" borderId="1" xfId="1" applyNumberFormat="1" applyFont="1" applyFill="1" applyBorder="1" applyAlignment="1">
      <alignment horizontal="right"/>
    </xf>
    <xf numFmtId="3" fontId="26" fillId="0" borderId="101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1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2" xfId="1" applyNumberFormat="1" applyFont="1" applyFill="1" applyBorder="1" applyAlignment="1"/>
    <xf numFmtId="3" fontId="28" fillId="0" borderId="101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6" xfId="0" applyNumberFormat="1" applyFont="1" applyFill="1" applyBorder="1" applyAlignment="1"/>
    <xf numFmtId="3" fontId="28" fillId="0" borderId="103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2" xfId="0" applyNumberFormat="1" applyFont="1" applyFill="1" applyBorder="1" applyAlignment="1">
      <alignment horizontal="center"/>
    </xf>
    <xf numFmtId="3" fontId="28" fillId="0" borderId="99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4" xfId="0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0" fontId="26" fillId="0" borderId="106" xfId="0" applyFont="1" applyBorder="1"/>
    <xf numFmtId="49" fontId="29" fillId="44" borderId="101" xfId="0" applyNumberFormat="1" applyFont="1" applyFill="1" applyBorder="1" applyAlignment="1"/>
    <xf numFmtId="43" fontId="28" fillId="44" borderId="1" xfId="1" applyNumberFormat="1" applyFont="1" applyFill="1" applyBorder="1" applyAlignment="1">
      <alignment horizontal="right"/>
    </xf>
    <xf numFmtId="43" fontId="28" fillId="44" borderId="1" xfId="0" applyNumberFormat="1" applyFont="1" applyFill="1" applyBorder="1" applyAlignment="1">
      <alignment horizontal="right"/>
    </xf>
    <xf numFmtId="43" fontId="28" fillId="44" borderId="15" xfId="0" applyNumberFormat="1" applyFont="1" applyFill="1" applyBorder="1" applyAlignment="1">
      <alignment horizontal="right"/>
    </xf>
    <xf numFmtId="43" fontId="28" fillId="44" borderId="13" xfId="0" applyNumberFormat="1" applyFont="1" applyFill="1" applyBorder="1" applyAlignment="1">
      <alignment horizontal="right"/>
    </xf>
    <xf numFmtId="43" fontId="28" fillId="44" borderId="102" xfId="0" applyNumberFormat="1" applyFont="1" applyFill="1" applyBorder="1" applyAlignment="1">
      <alignment horizontal="right"/>
    </xf>
    <xf numFmtId="49" fontId="28" fillId="44" borderId="101" xfId="0" applyNumberFormat="1" applyFont="1" applyFill="1" applyBorder="1" applyAlignment="1"/>
    <xf numFmtId="43" fontId="28" fillId="44" borderId="1" xfId="1" applyNumberFormat="1" applyFont="1" applyFill="1" applyBorder="1" applyAlignment="1"/>
    <xf numFmtId="43" fontId="28" fillId="44" borderId="101" xfId="1" applyNumberFormat="1" applyFont="1" applyFill="1" applyBorder="1" applyAlignment="1"/>
    <xf numFmtId="43" fontId="28" fillId="44" borderId="102" xfId="0" applyNumberFormat="1" applyFont="1" applyFill="1" applyBorder="1" applyAlignment="1"/>
    <xf numFmtId="49" fontId="29" fillId="44" borderId="107" xfId="0" applyNumberFormat="1" applyFont="1" applyFill="1" applyBorder="1" applyAlignment="1"/>
    <xf numFmtId="43" fontId="28" fillId="44" borderId="3" xfId="1" applyNumberFormat="1" applyFont="1" applyFill="1" applyBorder="1" applyAlignment="1">
      <alignment horizontal="right"/>
    </xf>
    <xf numFmtId="43" fontId="28" fillId="44" borderId="3" xfId="0" applyNumberFormat="1" applyFont="1" applyFill="1" applyBorder="1" applyAlignment="1">
      <alignment horizontal="right"/>
    </xf>
    <xf numFmtId="43" fontId="28" fillId="44" borderId="4" xfId="0" applyNumberFormat="1" applyFont="1" applyFill="1" applyBorder="1" applyAlignment="1">
      <alignment horizontal="right"/>
    </xf>
    <xf numFmtId="3" fontId="26" fillId="0" borderId="96" xfId="0" applyNumberFormat="1" applyFont="1" applyFill="1" applyBorder="1" applyAlignment="1"/>
    <xf numFmtId="3" fontId="26" fillId="0" borderId="103" xfId="1" applyNumberFormat="1" applyFont="1" applyFill="1" applyBorder="1" applyAlignment="1"/>
    <xf numFmtId="4" fontId="26" fillId="0" borderId="103" xfId="1" applyNumberFormat="1" applyFont="1" applyFill="1" applyBorder="1" applyAlignment="1"/>
    <xf numFmtId="3" fontId="26" fillId="0" borderId="107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6" xfId="1" applyNumberFormat="1" applyFont="1" applyFill="1" applyBorder="1" applyAlignment="1"/>
    <xf numFmtId="43" fontId="26" fillId="0" borderId="103" xfId="1" applyNumberFormat="1" applyFont="1" applyFill="1" applyBorder="1" applyAlignment="1"/>
    <xf numFmtId="43" fontId="26" fillId="0" borderId="109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2" xfId="0" applyNumberFormat="1" applyFont="1" applyFill="1" applyBorder="1" applyAlignment="1"/>
    <xf numFmtId="3" fontId="26" fillId="45" borderId="103" xfId="0" applyNumberFormat="1" applyFont="1" applyFill="1" applyBorder="1" applyAlignment="1"/>
    <xf numFmtId="43" fontId="28" fillId="45" borderId="103" xfId="0" applyNumberFormat="1" applyFont="1" applyFill="1" applyBorder="1" applyAlignment="1"/>
    <xf numFmtId="43" fontId="31" fillId="45" borderId="110" xfId="1" applyNumberFormat="1" applyFont="1" applyFill="1" applyBorder="1" applyAlignment="1"/>
    <xf numFmtId="3" fontId="31" fillId="45" borderId="103" xfId="0" applyNumberFormat="1" applyFont="1" applyFill="1" applyBorder="1" applyAlignment="1"/>
    <xf numFmtId="0" fontId="28" fillId="0" borderId="91" xfId="0" applyFont="1" applyBorder="1"/>
    <xf numFmtId="0" fontId="28" fillId="0" borderId="112" xfId="0" applyFont="1" applyBorder="1" applyAlignment="1"/>
    <xf numFmtId="3" fontId="26" fillId="0" borderId="104" xfId="0" applyNumberFormat="1" applyFont="1" applyFill="1" applyBorder="1" applyAlignment="1">
      <alignment horizontal="center"/>
    </xf>
    <xf numFmtId="3" fontId="26" fillId="0" borderId="106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3" xfId="0" applyFont="1" applyBorder="1" applyAlignment="1">
      <alignment horizontal="center"/>
    </xf>
    <xf numFmtId="49" fontId="28" fillId="46" borderId="101" xfId="0" applyNumberFormat="1" applyFont="1" applyFill="1" applyBorder="1" applyAlignment="1"/>
    <xf numFmtId="43" fontId="28" fillId="46" borderId="15" xfId="1" applyNumberFormat="1" applyFont="1" applyFill="1" applyBorder="1" applyAlignment="1"/>
    <xf numFmtId="43" fontId="28" fillId="46" borderId="101" xfId="0" applyNumberFormat="1" applyFont="1" applyFill="1" applyBorder="1" applyAlignment="1"/>
    <xf numFmtId="43" fontId="28" fillId="46" borderId="102" xfId="0" applyNumberFormat="1" applyFont="1" applyFill="1" applyBorder="1" applyAlignment="1"/>
    <xf numFmtId="43" fontId="28" fillId="46" borderId="101" xfId="0" applyNumberFormat="1" applyFont="1" applyFill="1" applyBorder="1" applyAlignment="1">
      <alignment horizontal="right"/>
    </xf>
    <xf numFmtId="43" fontId="28" fillId="46" borderId="102" xfId="0" applyNumberFormat="1" applyFont="1" applyFill="1" applyBorder="1" applyAlignment="1">
      <alignment horizontal="right"/>
    </xf>
    <xf numFmtId="43" fontId="28" fillId="46" borderId="114" xfId="0" applyNumberFormat="1" applyFont="1" applyFill="1" applyBorder="1" applyAlignment="1"/>
    <xf numFmtId="43" fontId="28" fillId="47" borderId="101" xfId="1" applyNumberFormat="1" applyFont="1" applyFill="1" applyBorder="1" applyAlignment="1"/>
    <xf numFmtId="43" fontId="28" fillId="46" borderId="13" xfId="1" applyNumberFormat="1" applyFont="1" applyFill="1" applyBorder="1" applyAlignment="1"/>
    <xf numFmtId="43" fontId="28" fillId="46" borderId="14" xfId="1" applyNumberFormat="1" applyFont="1" applyFill="1" applyBorder="1" applyAlignment="1"/>
    <xf numFmtId="43" fontId="28" fillId="46" borderId="1" xfId="1" applyNumberFormat="1" applyFont="1" applyFill="1" applyBorder="1" applyAlignment="1"/>
    <xf numFmtId="43" fontId="28" fillId="46" borderId="15" xfId="0" applyNumberFormat="1" applyFont="1" applyFill="1" applyBorder="1"/>
    <xf numFmtId="43" fontId="28" fillId="46" borderId="101" xfId="0" applyNumberFormat="1" applyFont="1" applyFill="1" applyBorder="1" applyAlignment="1">
      <alignment horizontal="right" vertical="center"/>
    </xf>
    <xf numFmtId="43" fontId="28" fillId="46" borderId="102" xfId="0" applyNumberFormat="1" applyFont="1" applyFill="1" applyBorder="1" applyAlignment="1">
      <alignment horizontal="right" vertical="center"/>
    </xf>
    <xf numFmtId="49" fontId="28" fillId="46" borderId="107" xfId="0" applyNumberFormat="1" applyFont="1" applyFill="1" applyBorder="1" applyAlignment="1"/>
    <xf numFmtId="43" fontId="28" fillId="46" borderId="4" xfId="0" applyNumberFormat="1" applyFont="1" applyFill="1" applyBorder="1"/>
    <xf numFmtId="43" fontId="28" fillId="46" borderId="107" xfId="0" applyNumberFormat="1" applyFont="1" applyFill="1" applyBorder="1" applyAlignment="1">
      <alignment horizontal="right" vertical="center"/>
    </xf>
    <xf numFmtId="43" fontId="28" fillId="46" borderId="115" xfId="0" applyNumberFormat="1" applyFont="1" applyFill="1" applyBorder="1" applyAlignment="1">
      <alignment horizontal="right" vertical="center"/>
    </xf>
    <xf numFmtId="49" fontId="28" fillId="46" borderId="1" xfId="0" applyNumberFormat="1" applyFont="1" applyFill="1" applyBorder="1" applyAlignment="1"/>
    <xf numFmtId="43" fontId="28" fillId="46" borderId="1" xfId="0" applyNumberFormat="1" applyFont="1" applyFill="1" applyBorder="1" applyAlignment="1"/>
    <xf numFmtId="43" fontId="28" fillId="47" borderId="107" xfId="1" applyNumberFormat="1" applyFont="1" applyFill="1" applyBorder="1" applyAlignment="1"/>
    <xf numFmtId="43" fontId="28" fillId="46" borderId="3" xfId="1" applyNumberFormat="1" applyFont="1" applyFill="1" applyBorder="1" applyAlignment="1"/>
    <xf numFmtId="43" fontId="28" fillId="46" borderId="115" xfId="0" applyNumberFormat="1" applyFont="1" applyFill="1" applyBorder="1" applyAlignment="1"/>
    <xf numFmtId="43" fontId="28" fillId="46" borderId="114" xfId="1" applyNumberFormat="1" applyFont="1" applyFill="1" applyBorder="1" applyAlignment="1"/>
    <xf numFmtId="43" fontId="26" fillId="0" borderId="111" xfId="1" applyNumberFormat="1" applyFont="1" applyFill="1" applyBorder="1" applyAlignment="1"/>
    <xf numFmtId="43" fontId="26" fillId="0" borderId="109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48" borderId="2" xfId="1" applyNumberFormat="1" applyFont="1" applyFill="1" applyBorder="1" applyAlignment="1"/>
    <xf numFmtId="43" fontId="28" fillId="48" borderId="2" xfId="0" applyNumberFormat="1" applyFont="1" applyFill="1" applyBorder="1" applyAlignment="1"/>
    <xf numFmtId="43" fontId="28" fillId="48" borderId="1" xfId="1" applyNumberFormat="1" applyFont="1" applyFill="1" applyBorder="1" applyAlignment="1"/>
    <xf numFmtId="43" fontId="28" fillId="48" borderId="1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6" fillId="45" borderId="103" xfId="1" applyNumberFormat="1" applyFont="1" applyFill="1" applyBorder="1" applyAlignment="1"/>
    <xf numFmtId="43" fontId="26" fillId="45" borderId="109" xfId="1" applyNumberFormat="1" applyFont="1" applyFill="1" applyBorder="1" applyAlignment="1"/>
    <xf numFmtId="43" fontId="26" fillId="45" borderId="111" xfId="1" applyNumberFormat="1" applyFont="1" applyFill="1" applyBorder="1" applyAlignment="1"/>
    <xf numFmtId="43" fontId="31" fillId="45" borderId="125" xfId="0" applyNumberFormat="1" applyFont="1" applyFill="1" applyBorder="1" applyAlignment="1"/>
    <xf numFmtId="43" fontId="0" fillId="0" borderId="0" xfId="0" applyNumberFormat="1"/>
    <xf numFmtId="43" fontId="31" fillId="49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2" xfId="0" applyNumberFormat="1" applyFont="1" applyBorder="1" applyAlignment="1"/>
    <xf numFmtId="43" fontId="31" fillId="49" borderId="112" xfId="0" applyNumberFormat="1" applyFont="1" applyFill="1" applyBorder="1" applyAlignment="1"/>
    <xf numFmtId="43" fontId="31" fillId="0" borderId="112" xfId="0" applyNumberFormat="1" applyFont="1" applyBorder="1" applyAlignment="1"/>
    <xf numFmtId="43" fontId="31" fillId="0" borderId="112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4" xfId="0" applyFont="1" applyBorder="1" applyAlignment="1" applyProtection="1">
      <alignment horizontal="center"/>
      <protection hidden="1"/>
    </xf>
    <xf numFmtId="0" fontId="26" fillId="0" borderId="106" xfId="0" applyFont="1" applyBorder="1" applyAlignment="1" applyProtection="1">
      <alignment horizontal="center"/>
      <protection hidden="1"/>
    </xf>
    <xf numFmtId="0" fontId="26" fillId="0" borderId="113" xfId="0" applyFont="1" applyBorder="1" applyAlignment="1" applyProtection="1">
      <alignment horizontal="center"/>
      <protection hidden="1"/>
    </xf>
    <xf numFmtId="0" fontId="26" fillId="0" borderId="85" xfId="0" applyFont="1" applyBorder="1" applyAlignment="1" applyProtection="1">
      <alignment horizontal="center"/>
      <protection hidden="1"/>
    </xf>
    <xf numFmtId="0" fontId="26" fillId="0" borderId="135" xfId="0" applyFont="1" applyBorder="1" applyAlignment="1" applyProtection="1">
      <alignment horizontal="center"/>
      <protection hidden="1"/>
    </xf>
    <xf numFmtId="0" fontId="28" fillId="0" borderId="133" xfId="0" applyFont="1" applyBorder="1" applyProtection="1">
      <protection hidden="1"/>
    </xf>
    <xf numFmtId="0" fontId="26" fillId="0" borderId="133" xfId="0" applyFont="1" applyBorder="1" applyAlignment="1" applyProtection="1">
      <alignment horizontal="center"/>
      <protection hidden="1"/>
    </xf>
    <xf numFmtId="0" fontId="26" fillId="0" borderId="101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2" xfId="0" applyFont="1" applyBorder="1" applyProtection="1">
      <protection hidden="1"/>
    </xf>
    <xf numFmtId="49" fontId="28" fillId="43" borderId="101" xfId="1" applyNumberFormat="1" applyFont="1" applyFill="1" applyBorder="1" applyAlignment="1" applyProtection="1">
      <protection hidden="1"/>
    </xf>
    <xf numFmtId="43" fontId="28" fillId="43" borderId="15" xfId="1" applyFont="1" applyFill="1" applyBorder="1" applyAlignment="1" applyProtection="1">
      <protection hidden="1"/>
    </xf>
    <xf numFmtId="43" fontId="28" fillId="43" borderId="101" xfId="1" applyFont="1" applyFill="1" applyBorder="1" applyAlignment="1" applyProtection="1">
      <protection hidden="1"/>
    </xf>
    <xf numFmtId="43" fontId="28" fillId="43" borderId="102" xfId="1" applyFont="1" applyFill="1" applyBorder="1" applyAlignment="1" applyProtection="1">
      <protection hidden="1"/>
    </xf>
    <xf numFmtId="43" fontId="28" fillId="43" borderId="101" xfId="0" applyNumberFormat="1" applyFont="1" applyFill="1" applyBorder="1" applyAlignment="1" applyProtection="1">
      <alignment horizontal="right"/>
      <protection hidden="1"/>
    </xf>
    <xf numFmtId="43" fontId="28" fillId="43" borderId="102" xfId="0" applyNumberFormat="1" applyFont="1" applyFill="1" applyBorder="1" applyAlignment="1" applyProtection="1">
      <alignment horizontal="right"/>
      <protection hidden="1"/>
    </xf>
    <xf numFmtId="43" fontId="28" fillId="43" borderId="13" xfId="1" applyFont="1" applyFill="1" applyBorder="1" applyAlignment="1" applyProtection="1">
      <protection hidden="1"/>
    </xf>
    <xf numFmtId="43" fontId="28" fillId="43" borderId="51" xfId="1" applyFont="1" applyFill="1" applyBorder="1" applyAlignment="1" applyProtection="1">
      <protection hidden="1"/>
    </xf>
    <xf numFmtId="49" fontId="28" fillId="43" borderId="133" xfId="0" applyNumberFormat="1" applyFont="1" applyFill="1" applyBorder="1" applyAlignment="1" applyProtection="1">
      <protection hidden="1"/>
    </xf>
    <xf numFmtId="43" fontId="28" fillId="43" borderId="133" xfId="1" applyFont="1" applyFill="1" applyBorder="1" applyAlignment="1" applyProtection="1">
      <protection hidden="1"/>
    </xf>
    <xf numFmtId="43" fontId="28" fillId="43" borderId="1" xfId="1" applyFont="1" applyFill="1" applyBorder="1" applyAlignment="1" applyProtection="1">
      <protection hidden="1"/>
    </xf>
    <xf numFmtId="43" fontId="28" fillId="43" borderId="102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3" borderId="15" xfId="1" applyFont="1" applyFill="1" applyBorder="1" applyAlignment="1" applyProtection="1">
      <alignment horizontal="right"/>
      <protection hidden="1"/>
    </xf>
    <xf numFmtId="3" fontId="26" fillId="0" borderId="23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1" xfId="1" applyNumberFormat="1" applyFont="1" applyFill="1" applyBorder="1" applyAlignment="1" applyProtection="1">
      <protection hidden="1"/>
    </xf>
    <xf numFmtId="43" fontId="26" fillId="0" borderId="102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1" xfId="1" applyNumberFormat="1" applyFont="1" applyFill="1" applyBorder="1" applyAlignment="1" applyProtection="1">
      <protection hidden="1"/>
    </xf>
    <xf numFmtId="3" fontId="26" fillId="0" borderId="133" xfId="0" applyNumberFormat="1" applyFont="1" applyFill="1" applyBorder="1" applyAlignment="1" applyProtection="1">
      <protection hidden="1"/>
    </xf>
    <xf numFmtId="43" fontId="26" fillId="0" borderId="133" xfId="0" applyNumberFormat="1" applyFont="1" applyFill="1" applyBorder="1" applyAlignment="1" applyProtection="1">
      <protection hidden="1"/>
    </xf>
    <xf numFmtId="43" fontId="26" fillId="0" borderId="101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3" fontId="28" fillId="0" borderId="23" xfId="0" applyNumberFormat="1" applyFont="1" applyFill="1" applyBorder="1" applyAlignment="1" applyProtection="1">
      <protection hidden="1"/>
    </xf>
    <xf numFmtId="3" fontId="29" fillId="50" borderId="15" xfId="0" applyNumberFormat="1" applyFont="1" applyFill="1" applyBorder="1" applyAlignment="1" applyProtection="1">
      <protection hidden="1"/>
    </xf>
    <xf numFmtId="3" fontId="28" fillId="0" borderId="133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1" xfId="0" applyNumberFormat="1" applyFont="1" applyFill="1" applyBorder="1" applyAlignment="1" applyProtection="1">
      <alignment horizontal="center"/>
      <protection hidden="1"/>
    </xf>
    <xf numFmtId="3" fontId="26" fillId="0" borderId="102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1" xfId="0" applyNumberFormat="1" applyFont="1" applyFill="1" applyBorder="1" applyAlignment="1" applyProtection="1">
      <alignment horizontal="center"/>
      <protection hidden="1"/>
    </xf>
    <xf numFmtId="49" fontId="28" fillId="44" borderId="23" xfId="0" applyNumberFormat="1" applyFont="1" applyFill="1" applyBorder="1" applyAlignment="1" applyProtection="1">
      <protection hidden="1"/>
    </xf>
    <xf numFmtId="43" fontId="28" fillId="44" borderId="15" xfId="1" applyFont="1" applyFill="1" applyBorder="1" applyAlignment="1" applyProtection="1">
      <alignment horizontal="right"/>
      <protection hidden="1"/>
    </xf>
    <xf numFmtId="43" fontId="28" fillId="44" borderId="101" xfId="0" applyNumberFormat="1" applyFont="1" applyFill="1" applyBorder="1" applyAlignment="1" applyProtection="1">
      <alignment horizontal="right"/>
      <protection hidden="1"/>
    </xf>
    <xf numFmtId="43" fontId="28" fillId="44" borderId="102" xfId="0" applyNumberFormat="1" applyFont="1" applyFill="1" applyBorder="1" applyAlignment="1" applyProtection="1">
      <alignment horizontal="right"/>
      <protection hidden="1"/>
    </xf>
    <xf numFmtId="43" fontId="28" fillId="44" borderId="13" xfId="0" applyNumberFormat="1" applyFont="1" applyFill="1" applyBorder="1" applyAlignment="1" applyProtection="1">
      <alignment horizontal="right"/>
      <protection hidden="1"/>
    </xf>
    <xf numFmtId="43" fontId="28" fillId="44" borderId="15" xfId="0" applyNumberFormat="1" applyFont="1" applyFill="1" applyBorder="1" applyAlignment="1" applyProtection="1">
      <alignment horizontal="right"/>
      <protection hidden="1"/>
    </xf>
    <xf numFmtId="43" fontId="28" fillId="44" borderId="51" xfId="0" applyNumberFormat="1" applyFont="1" applyFill="1" applyBorder="1" applyAlignment="1" applyProtection="1">
      <alignment horizontal="right"/>
      <protection hidden="1"/>
    </xf>
    <xf numFmtId="49" fontId="28" fillId="44" borderId="133" xfId="0" applyNumberFormat="1" applyFont="1" applyFill="1" applyBorder="1" applyAlignment="1" applyProtection="1">
      <protection hidden="1"/>
    </xf>
    <xf numFmtId="43" fontId="28" fillId="44" borderId="133" xfId="1" applyFont="1" applyFill="1" applyBorder="1" applyAlignment="1" applyProtection="1">
      <protection hidden="1"/>
    </xf>
    <xf numFmtId="43" fontId="28" fillId="44" borderId="101" xfId="1" applyFont="1" applyFill="1" applyBorder="1" applyAlignment="1" applyProtection="1">
      <protection hidden="1"/>
    </xf>
    <xf numFmtId="43" fontId="28" fillId="44" borderId="1" xfId="1" applyFont="1" applyFill="1" applyBorder="1" applyAlignment="1" applyProtection="1">
      <protection hidden="1"/>
    </xf>
    <xf numFmtId="43" fontId="28" fillId="44" borderId="102" xfId="0" applyNumberFormat="1" applyFont="1" applyFill="1" applyBorder="1" applyAlignment="1" applyProtection="1">
      <protection hidden="1"/>
    </xf>
    <xf numFmtId="49" fontId="28" fillId="44" borderId="27" xfId="0" applyNumberFormat="1" applyFont="1" applyFill="1" applyBorder="1" applyAlignment="1" applyProtection="1">
      <protection hidden="1"/>
    </xf>
    <xf numFmtId="43" fontId="28" fillId="44" borderId="4" xfId="1" applyFont="1" applyFill="1" applyBorder="1" applyAlignment="1" applyProtection="1">
      <alignment horizontal="right"/>
      <protection hidden="1"/>
    </xf>
    <xf numFmtId="43" fontId="26" fillId="0" borderId="137" xfId="0" applyNumberFormat="1" applyFont="1" applyFill="1" applyBorder="1" applyAlignment="1" applyProtection="1">
      <protection hidden="1"/>
    </xf>
    <xf numFmtId="43" fontId="26" fillId="0" borderId="111" xfId="1" applyNumberFormat="1" applyFont="1" applyFill="1" applyBorder="1" applyAlignment="1" applyProtection="1">
      <protection hidden="1"/>
    </xf>
    <xf numFmtId="43" fontId="26" fillId="0" borderId="133" xfId="1" applyFont="1" applyFill="1" applyBorder="1" applyAlignment="1" applyProtection="1">
      <protection hidden="1"/>
    </xf>
    <xf numFmtId="43" fontId="26" fillId="0" borderId="102" xfId="0" applyNumberFormat="1" applyFont="1" applyFill="1" applyBorder="1" applyAlignment="1" applyProtection="1">
      <protection hidden="1"/>
    </xf>
    <xf numFmtId="43" fontId="28" fillId="0" borderId="134" xfId="0" applyNumberFormat="1" applyFont="1" applyFill="1" applyBorder="1" applyAlignment="1" applyProtection="1">
      <protection hidden="1"/>
    </xf>
    <xf numFmtId="43" fontId="29" fillId="50" borderId="9" xfId="1" applyNumberFormat="1" applyFont="1" applyFill="1" applyBorder="1" applyAlignment="1" applyProtection="1">
      <protection hidden="1"/>
    </xf>
    <xf numFmtId="170" fontId="30" fillId="0" borderId="114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6" xfId="1" applyNumberFormat="1" applyFont="1" applyBorder="1" applyAlignment="1" applyProtection="1">
      <protection hidden="1"/>
    </xf>
    <xf numFmtId="170" fontId="30" fillId="0" borderId="101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2" xfId="1" applyNumberFormat="1" applyFont="1" applyBorder="1" applyAlignment="1" applyProtection="1">
      <protection hidden="1"/>
    </xf>
    <xf numFmtId="43" fontId="31" fillId="0" borderId="101" xfId="0" applyNumberFormat="1" applyFont="1" applyFill="1" applyBorder="1" applyAlignment="1" applyProtection="1">
      <protection hidden="1"/>
    </xf>
    <xf numFmtId="43" fontId="31" fillId="0" borderId="102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1" xfId="0" applyNumberFormat="1" applyFont="1" applyFill="1" applyBorder="1" applyAlignment="1" applyProtection="1">
      <protection hidden="1"/>
    </xf>
    <xf numFmtId="3" fontId="26" fillId="45" borderId="133" xfId="0" applyNumberFormat="1" applyFont="1" applyFill="1" applyBorder="1" applyAlignment="1" applyProtection="1">
      <protection hidden="1"/>
    </xf>
    <xf numFmtId="43" fontId="28" fillId="45" borderId="133" xfId="0" applyNumberFormat="1" applyFont="1" applyFill="1" applyBorder="1" applyAlignment="1" applyProtection="1">
      <protection hidden="1"/>
    </xf>
    <xf numFmtId="43" fontId="31" fillId="45" borderId="101" xfId="1" applyFont="1" applyFill="1" applyBorder="1" applyAlignment="1" applyProtection="1">
      <protection hidden="1"/>
    </xf>
    <xf numFmtId="43" fontId="31" fillId="45" borderId="1" xfId="1" applyFont="1" applyFill="1" applyBorder="1" applyAlignment="1" applyProtection="1">
      <protection hidden="1"/>
    </xf>
    <xf numFmtId="43" fontId="31" fillId="45" borderId="102" xfId="1" applyFont="1" applyFill="1" applyBorder="1" applyAlignment="1" applyProtection="1">
      <protection hidden="1"/>
    </xf>
    <xf numFmtId="43" fontId="31" fillId="45" borderId="101" xfId="0" applyNumberFormat="1" applyFont="1" applyFill="1" applyBorder="1" applyAlignment="1" applyProtection="1">
      <protection hidden="1"/>
    </xf>
    <xf numFmtId="43" fontId="31" fillId="45" borderId="102" xfId="0" applyNumberFormat="1" applyFont="1" applyFill="1" applyBorder="1" applyAlignment="1" applyProtection="1">
      <protection hidden="1"/>
    </xf>
    <xf numFmtId="43" fontId="31" fillId="45" borderId="13" xfId="0" applyNumberFormat="1" applyFont="1" applyFill="1" applyBorder="1" applyAlignment="1" applyProtection="1">
      <protection hidden="1"/>
    </xf>
    <xf numFmtId="43" fontId="31" fillId="45" borderId="15" xfId="0" applyNumberFormat="1" applyFont="1" applyFill="1" applyBorder="1" applyAlignment="1" applyProtection="1">
      <protection hidden="1"/>
    </xf>
    <xf numFmtId="49" fontId="28" fillId="47" borderId="23" xfId="0" applyNumberFormat="1" applyFont="1" applyFill="1" applyBorder="1" applyAlignment="1" applyProtection="1">
      <protection hidden="1"/>
    </xf>
    <xf numFmtId="43" fontId="28" fillId="47" borderId="15" xfId="1" applyFont="1" applyFill="1" applyBorder="1" applyAlignment="1" applyProtection="1">
      <protection hidden="1"/>
    </xf>
    <xf numFmtId="43" fontId="28" fillId="47" borderId="101" xfId="0" applyNumberFormat="1" applyFont="1" applyFill="1" applyBorder="1" applyAlignment="1" applyProtection="1">
      <protection hidden="1"/>
    </xf>
    <xf numFmtId="43" fontId="28" fillId="47" borderId="102" xfId="0" applyNumberFormat="1" applyFont="1" applyFill="1" applyBorder="1" applyAlignment="1" applyProtection="1">
      <protection hidden="1"/>
    </xf>
    <xf numFmtId="43" fontId="28" fillId="47" borderId="102" xfId="0" applyNumberFormat="1" applyFont="1" applyFill="1" applyBorder="1" applyAlignment="1" applyProtection="1">
      <alignment horizontal="right"/>
      <protection hidden="1"/>
    </xf>
    <xf numFmtId="43" fontId="28" fillId="47" borderId="13" xfId="0" applyNumberFormat="1" applyFont="1" applyFill="1" applyBorder="1" applyAlignment="1" applyProtection="1">
      <protection hidden="1"/>
    </xf>
    <xf numFmtId="43" fontId="28" fillId="47" borderId="15" xfId="0" applyNumberFormat="1" applyFont="1" applyFill="1" applyBorder="1" applyAlignment="1" applyProtection="1">
      <protection hidden="1"/>
    </xf>
    <xf numFmtId="43" fontId="28" fillId="47" borderId="51" xfId="0" applyNumberFormat="1" applyFont="1" applyFill="1" applyBorder="1" applyAlignment="1" applyProtection="1">
      <protection hidden="1"/>
    </xf>
    <xf numFmtId="49" fontId="28" fillId="47" borderId="133" xfId="0" applyNumberFormat="1" applyFont="1" applyFill="1" applyBorder="1" applyAlignment="1" applyProtection="1">
      <protection hidden="1"/>
    </xf>
    <xf numFmtId="43" fontId="28" fillId="47" borderId="133" xfId="1" applyFont="1" applyFill="1" applyBorder="1" applyAlignment="1" applyProtection="1">
      <protection hidden="1"/>
    </xf>
    <xf numFmtId="43" fontId="28" fillId="47" borderId="101" xfId="1" applyFont="1" applyFill="1" applyBorder="1" applyAlignment="1" applyProtection="1">
      <protection hidden="1"/>
    </xf>
    <xf numFmtId="43" fontId="28" fillId="47" borderId="1" xfId="1" applyFont="1" applyFill="1" applyBorder="1" applyAlignment="1" applyProtection="1">
      <protection hidden="1"/>
    </xf>
    <xf numFmtId="49" fontId="28" fillId="47" borderId="23" xfId="0" applyNumberFormat="1" applyFont="1" applyFill="1" applyBorder="1" applyProtection="1">
      <protection hidden="1"/>
    </xf>
    <xf numFmtId="43" fontId="28" fillId="47" borderId="15" xfId="0" applyNumberFormat="1" applyFont="1" applyFill="1" applyBorder="1" applyProtection="1">
      <protection hidden="1"/>
    </xf>
    <xf numFmtId="49" fontId="28" fillId="47" borderId="27" xfId="0" applyNumberFormat="1" applyFont="1" applyFill="1" applyBorder="1" applyProtection="1">
      <protection hidden="1"/>
    </xf>
    <xf numFmtId="43" fontId="28" fillId="47" borderId="4" xfId="0" applyNumberFormat="1" applyFont="1" applyFill="1" applyBorder="1" applyProtection="1">
      <protection hidden="1"/>
    </xf>
    <xf numFmtId="49" fontId="36" fillId="47" borderId="27" xfId="0" applyNumberFormat="1" applyFont="1" applyFill="1" applyBorder="1" applyProtection="1">
      <protection hidden="1"/>
    </xf>
    <xf numFmtId="3" fontId="26" fillId="0" borderId="137" xfId="0" applyNumberFormat="1" applyFont="1" applyFill="1" applyBorder="1" applyAlignment="1" applyProtection="1">
      <protection hidden="1"/>
    </xf>
    <xf numFmtId="43" fontId="26" fillId="0" borderId="111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1" xfId="1" applyFont="1" applyFill="1" applyBorder="1" applyAlignment="1" applyProtection="1">
      <protection hidden="1"/>
    </xf>
    <xf numFmtId="3" fontId="28" fillId="0" borderId="134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38" xfId="0" applyNumberFormat="1" applyFont="1" applyFill="1" applyBorder="1" applyAlignment="1" applyProtection="1">
      <protection hidden="1"/>
    </xf>
    <xf numFmtId="43" fontId="26" fillId="45" borderId="101" xfId="1" applyFont="1" applyFill="1" applyBorder="1" applyAlignment="1" applyProtection="1">
      <protection hidden="1"/>
    </xf>
    <xf numFmtId="43" fontId="26" fillId="45" borderId="102" xfId="1" applyFont="1" applyFill="1" applyBorder="1" applyAlignment="1" applyProtection="1">
      <protection hidden="1"/>
    </xf>
    <xf numFmtId="43" fontId="26" fillId="45" borderId="13" xfId="1" applyFont="1" applyFill="1" applyBorder="1" applyAlignment="1" applyProtection="1">
      <protection hidden="1"/>
    </xf>
    <xf numFmtId="43" fontId="26" fillId="45" borderId="51" xfId="1" applyFont="1" applyFill="1" applyBorder="1" applyAlignment="1" applyProtection="1">
      <protection hidden="1"/>
    </xf>
    <xf numFmtId="43" fontId="31" fillId="45" borderId="96" xfId="0" applyNumberFormat="1" applyFont="1" applyFill="1" applyBorder="1" applyAlignment="1" applyProtection="1">
      <protection hidden="1"/>
    </xf>
    <xf numFmtId="43" fontId="31" fillId="45" borderId="103" xfId="0" applyNumberFormat="1" applyFont="1" applyFill="1" applyBorder="1" applyAlignment="1" applyProtection="1">
      <protection hidden="1"/>
    </xf>
    <xf numFmtId="43" fontId="31" fillId="45" borderId="109" xfId="0" applyNumberFormat="1" applyFont="1" applyFill="1" applyBorder="1" applyAlignment="1" applyProtection="1">
      <protection hidden="1"/>
    </xf>
    <xf numFmtId="43" fontId="0" fillId="50" borderId="140" xfId="0" applyNumberFormat="1" applyFill="1" applyBorder="1" applyAlignment="1" applyProtection="1">
      <alignment vertical="center"/>
      <protection hidden="1"/>
    </xf>
    <xf numFmtId="43" fontId="31" fillId="50" borderId="141" xfId="1" applyFont="1" applyFill="1" applyBorder="1" applyAlignment="1" applyProtection="1">
      <alignment vertical="center"/>
      <protection hidden="1"/>
    </xf>
    <xf numFmtId="43" fontId="34" fillId="50" borderId="140" xfId="0" applyNumberFormat="1" applyFont="1" applyFill="1" applyBorder="1" applyAlignment="1" applyProtection="1">
      <alignment vertical="center"/>
      <protection hidden="1"/>
    </xf>
    <xf numFmtId="43" fontId="31" fillId="50" borderId="140" xfId="1" applyFont="1" applyFill="1" applyBorder="1" applyAlignment="1" applyProtection="1">
      <alignment vertical="center"/>
      <protection hidden="1"/>
    </xf>
    <xf numFmtId="43" fontId="31" fillId="50" borderId="46" xfId="1" applyFont="1" applyFill="1" applyBorder="1" applyAlignment="1" applyProtection="1">
      <alignment vertical="center"/>
      <protection hidden="1"/>
    </xf>
    <xf numFmtId="43" fontId="31" fillId="50" borderId="139" xfId="1" applyFont="1" applyFill="1" applyBorder="1" applyAlignment="1" applyProtection="1">
      <alignment vertical="center"/>
      <protection hidden="1"/>
    </xf>
    <xf numFmtId="43" fontId="34" fillId="50" borderId="46" xfId="0" applyNumberFormat="1" applyFont="1" applyFill="1" applyBorder="1" applyAlignment="1" applyProtection="1">
      <alignment vertical="center"/>
      <protection hidden="1"/>
    </xf>
    <xf numFmtId="43" fontId="31" fillId="50" borderId="142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2" xfId="0" applyNumberFormat="1" applyFont="1" applyBorder="1" applyAlignment="1" applyProtection="1">
      <alignment vertical="center"/>
      <protection hidden="1"/>
    </xf>
    <xf numFmtId="43" fontId="31" fillId="49" borderId="112" xfId="0" applyNumberFormat="1" applyFont="1" applyFill="1" applyBorder="1" applyAlignment="1" applyProtection="1">
      <alignment vertical="center"/>
      <protection hidden="1"/>
    </xf>
    <xf numFmtId="43" fontId="31" fillId="0" borderId="112" xfId="0" applyNumberFormat="1" applyFont="1" applyBorder="1" applyAlignment="1" applyProtection="1">
      <alignment vertical="center"/>
      <protection hidden="1"/>
    </xf>
    <xf numFmtId="43" fontId="31" fillId="0" borderId="112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49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1" borderId="107" xfId="0" applyNumberFormat="1" applyFont="1" applyFill="1" applyBorder="1" applyAlignment="1">
      <alignment horizontal="right" vertical="center"/>
    </xf>
    <xf numFmtId="43" fontId="28" fillId="51" borderId="115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29" borderId="1" xfId="0" applyNumberFormat="1" applyFont="1" applyFill="1" applyBorder="1" applyAlignment="1" applyProtection="1">
      <alignment horizontal="right" vertical="center"/>
      <protection hidden="1"/>
    </xf>
    <xf numFmtId="43" fontId="17" fillId="29" borderId="63" xfId="0" applyNumberFormat="1" applyFont="1" applyFill="1" applyBorder="1" applyAlignment="1" applyProtection="1">
      <alignment horizontal="right" vertical="center"/>
      <protection hidden="1"/>
    </xf>
    <xf numFmtId="43" fontId="17" fillId="29" borderId="61" xfId="0" applyNumberFormat="1" applyFont="1" applyFill="1" applyBorder="1" applyAlignment="1" applyProtection="1">
      <alignment horizontal="right" vertical="center"/>
      <protection hidden="1"/>
    </xf>
    <xf numFmtId="43" fontId="17" fillId="29" borderId="13" xfId="0" applyNumberFormat="1" applyFont="1" applyFill="1" applyBorder="1" applyAlignment="1" applyProtection="1">
      <alignment horizontal="right" vertical="center"/>
      <protection hidden="1"/>
    </xf>
    <xf numFmtId="43" fontId="17" fillId="20" borderId="1" xfId="0" applyNumberFormat="1" applyFont="1" applyFill="1" applyBorder="1" applyAlignment="1" applyProtection="1">
      <alignment horizontal="right" vertical="center"/>
      <protection hidden="1"/>
    </xf>
    <xf numFmtId="43" fontId="17" fillId="20" borderId="1" xfId="0" applyNumberFormat="1" applyFont="1" applyFill="1" applyBorder="1" applyAlignment="1" applyProtection="1">
      <alignment horizontal="center" vertical="center"/>
      <protection hidden="1"/>
    </xf>
    <xf numFmtId="43" fontId="17" fillId="20" borderId="61" xfId="0" applyNumberFormat="1" applyFont="1" applyFill="1" applyBorder="1" applyAlignment="1" applyProtection="1">
      <alignment horizontal="right" vertical="center"/>
      <protection hidden="1"/>
    </xf>
    <xf numFmtId="43" fontId="17" fillId="20" borderId="13" xfId="0" applyNumberFormat="1" applyFont="1" applyFill="1" applyBorder="1" applyAlignment="1" applyProtection="1">
      <alignment horizontal="right" vertical="center"/>
      <protection hidden="1"/>
    </xf>
    <xf numFmtId="43" fontId="17" fillId="20" borderId="15" xfId="0" applyNumberFormat="1" applyFont="1" applyFill="1" applyBorder="1" applyAlignment="1" applyProtection="1">
      <alignment horizontal="right" vertical="center"/>
      <protection hidden="1"/>
    </xf>
    <xf numFmtId="43" fontId="20" fillId="29" borderId="1" xfId="0" applyNumberFormat="1" applyFont="1" applyFill="1" applyBorder="1" applyAlignment="1" applyProtection="1">
      <alignment horizontal="right" vertical="center"/>
      <protection hidden="1"/>
    </xf>
    <xf numFmtId="43" fontId="20" fillId="29" borderId="13" xfId="0" applyNumberFormat="1" applyFont="1" applyFill="1" applyBorder="1" applyAlignment="1" applyProtection="1">
      <alignment horizontal="right" vertical="center"/>
      <protection hidden="1"/>
    </xf>
    <xf numFmtId="43" fontId="17" fillId="29" borderId="63" xfId="0" applyNumberFormat="1" applyFont="1" applyFill="1" applyBorder="1" applyAlignment="1" applyProtection="1">
      <alignment vertical="center"/>
      <protection hidden="1"/>
    </xf>
    <xf numFmtId="49" fontId="17" fillId="20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15" xfId="0" applyNumberFormat="1" applyFont="1" applyFill="1" applyBorder="1" applyAlignment="1" applyProtection="1">
      <alignment horizontal="right" vertical="center"/>
      <protection hidden="1"/>
    </xf>
    <xf numFmtId="43" fontId="17" fillId="20" borderId="14" xfId="0" applyNumberFormat="1" applyFont="1" applyFill="1" applyBorder="1" applyAlignment="1" applyProtection="1">
      <alignment horizontal="right" vertical="center"/>
      <protection hidden="1"/>
    </xf>
    <xf numFmtId="166" fontId="17" fillId="28" borderId="149" xfId="0" applyNumberFormat="1" applyFont="1" applyFill="1" applyBorder="1" applyAlignment="1" applyProtection="1">
      <alignment horizontal="right" vertical="center" wrapText="1"/>
      <protection hidden="1"/>
    </xf>
    <xf numFmtId="43" fontId="17" fillId="20" borderId="62" xfId="0" applyNumberFormat="1" applyFont="1" applyFill="1" applyBorder="1" applyAlignment="1" applyProtection="1">
      <alignment horizontal="right" vertical="center"/>
      <protection hidden="1"/>
    </xf>
    <xf numFmtId="43" fontId="17" fillId="20" borderId="150" xfId="0" applyNumberFormat="1" applyFont="1" applyFill="1" applyBorder="1" applyAlignment="1" applyProtection="1">
      <alignment horizontal="right" vertical="center"/>
      <protection hidden="1"/>
    </xf>
    <xf numFmtId="166" fontId="17" fillId="0" borderId="150" xfId="0" applyNumberFormat="1" applyFont="1" applyFill="1" applyBorder="1" applyAlignment="1" applyProtection="1">
      <alignment horizontal="right" vertical="center"/>
      <protection hidden="1"/>
    </xf>
    <xf numFmtId="166" fontId="17" fillId="32" borderId="62" xfId="0" applyNumberFormat="1" applyFont="1" applyFill="1" applyBorder="1" applyAlignment="1" applyProtection="1">
      <alignment horizontal="right" vertical="center"/>
      <protection hidden="1"/>
    </xf>
    <xf numFmtId="166" fontId="17" fillId="33" borderId="62" xfId="0" applyNumberFormat="1" applyFont="1" applyFill="1" applyBorder="1" applyAlignment="1" applyProtection="1">
      <alignment horizontal="right" vertical="center"/>
      <protection hidden="1"/>
    </xf>
    <xf numFmtId="166" fontId="17" fillId="21" borderId="62" xfId="0" applyNumberFormat="1" applyFont="1" applyFill="1" applyBorder="1" applyAlignment="1" applyProtection="1">
      <alignment horizontal="right" vertical="center"/>
      <protection hidden="1"/>
    </xf>
    <xf numFmtId="166" fontId="17" fillId="27" borderId="62" xfId="0" applyNumberFormat="1" applyFont="1" applyFill="1" applyBorder="1" applyAlignment="1" applyProtection="1">
      <alignment horizontal="right" vertical="center"/>
      <protection hidden="1"/>
    </xf>
    <xf numFmtId="166" fontId="17" fillId="34" borderId="62" xfId="0" applyNumberFormat="1" applyFont="1" applyFill="1" applyBorder="1" applyAlignment="1" applyProtection="1">
      <alignment horizontal="right" vertical="center"/>
      <protection hidden="1"/>
    </xf>
    <xf numFmtId="166" fontId="17" fillId="35" borderId="62" xfId="0" applyNumberFormat="1" applyFont="1" applyFill="1" applyBorder="1" applyAlignment="1" applyProtection="1">
      <alignment horizontal="right" vertical="center"/>
      <protection hidden="1"/>
    </xf>
    <xf numFmtId="166" fontId="17" fillId="36" borderId="151" xfId="0" applyNumberFormat="1" applyFont="1" applyFill="1" applyBorder="1" applyAlignment="1" applyProtection="1">
      <alignment horizontal="right" vertical="center"/>
      <protection hidden="1"/>
    </xf>
    <xf numFmtId="166" fontId="17" fillId="37" borderId="62" xfId="0" applyNumberFormat="1" applyFont="1" applyFill="1" applyBorder="1" applyAlignment="1" applyProtection="1">
      <alignment horizontal="right" vertical="center"/>
      <protection hidden="1"/>
    </xf>
    <xf numFmtId="166" fontId="17" fillId="0" borderId="150" xfId="0" applyNumberFormat="1" applyFont="1" applyFill="1" applyBorder="1" applyAlignment="1" applyProtection="1">
      <alignment horizontal="right"/>
      <protection hidden="1"/>
    </xf>
    <xf numFmtId="166" fontId="17" fillId="39" borderId="150" xfId="0" applyNumberFormat="1" applyFont="1" applyFill="1" applyBorder="1" applyAlignment="1" applyProtection="1">
      <alignment horizontal="right" vertical="center"/>
      <protection hidden="1"/>
    </xf>
    <xf numFmtId="166" fontId="17" fillId="40" borderId="62" xfId="0" applyNumberFormat="1" applyFont="1" applyFill="1" applyBorder="1" applyAlignment="1" applyProtection="1">
      <alignment horizontal="right"/>
      <protection hidden="1"/>
    </xf>
    <xf numFmtId="167" fontId="17" fillId="41" borderId="62" xfId="0" applyNumberFormat="1" applyFont="1" applyFill="1" applyBorder="1" applyAlignment="1" applyProtection="1">
      <alignment horizontal="right" vertical="center"/>
      <protection hidden="1"/>
    </xf>
    <xf numFmtId="167" fontId="17" fillId="42" borderId="152" xfId="0" applyNumberFormat="1" applyFont="1" applyFill="1" applyBorder="1" applyAlignment="1" applyProtection="1">
      <alignment horizontal="right" vertical="center"/>
      <protection hidden="1"/>
    </xf>
    <xf numFmtId="44" fontId="17" fillId="31" borderId="1" xfId="0" applyNumberFormat="1" applyFont="1" applyFill="1" applyBorder="1" applyAlignment="1" applyProtection="1">
      <alignment horizontal="right" vertical="center"/>
      <protection hidden="1"/>
    </xf>
    <xf numFmtId="44" fontId="17" fillId="31" borderId="15" xfId="0" applyNumberFormat="1" applyFont="1" applyFill="1" applyBorder="1" applyAlignment="1" applyProtection="1">
      <alignment horizontal="right" vertical="center"/>
      <protection hidden="1"/>
    </xf>
    <xf numFmtId="44" fontId="17" fillId="31" borderId="62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2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3" borderId="153" xfId="2" applyFont="1" applyFill="1" applyBorder="1" applyAlignment="1">
      <alignment horizontal="right" vertical="center"/>
    </xf>
    <xf numFmtId="4" fontId="1" fillId="53" borderId="156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4" borderId="157" xfId="2" applyFont="1" applyFill="1" applyBorder="1" applyAlignment="1">
      <alignment horizontal="right" vertical="center"/>
    </xf>
    <xf numFmtId="4" fontId="1" fillId="54" borderId="156" xfId="2" applyNumberFormat="1" applyFont="1" applyFill="1" applyBorder="1" applyAlignment="1">
      <alignment vertical="center"/>
    </xf>
    <xf numFmtId="0" fontId="1" fillId="55" borderId="159" xfId="2" applyFont="1" applyFill="1" applyBorder="1" applyAlignment="1">
      <alignment vertical="center"/>
    </xf>
    <xf numFmtId="4" fontId="1" fillId="55" borderId="162" xfId="2" applyNumberFormat="1" applyFont="1" applyFill="1" applyBorder="1" applyAlignment="1">
      <alignment vertical="center"/>
    </xf>
    <xf numFmtId="0" fontId="1" fillId="56" borderId="163" xfId="2" applyFont="1" applyFill="1" applyBorder="1" applyAlignment="1">
      <alignment vertical="center"/>
    </xf>
    <xf numFmtId="4" fontId="1" fillId="56" borderId="45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7" borderId="0" xfId="2" applyFont="1" applyFill="1" applyBorder="1" applyAlignment="1">
      <alignment vertical="center"/>
    </xf>
    <xf numFmtId="4" fontId="2" fillId="57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58" borderId="0" xfId="2" applyFont="1" applyFill="1" applyBorder="1" applyAlignment="1">
      <alignment horizontal="left" vertical="center"/>
    </xf>
    <xf numFmtId="4" fontId="2" fillId="58" borderId="0" xfId="2" applyNumberFormat="1" applyFont="1" applyFill="1" applyBorder="1" applyAlignment="1">
      <alignment vertical="center"/>
    </xf>
    <xf numFmtId="0" fontId="37" fillId="0" borderId="166" xfId="2" applyBorder="1" applyAlignment="1">
      <alignment horizontal="left"/>
    </xf>
    <xf numFmtId="0" fontId="37" fillId="0" borderId="166" xfId="2" applyFont="1" applyBorder="1"/>
    <xf numFmtId="0" fontId="37" fillId="0" borderId="0" xfId="2" applyAlignment="1">
      <alignment horizontal="left"/>
    </xf>
    <xf numFmtId="43" fontId="28" fillId="46" borderId="15" xfId="0" applyNumberFormat="1" applyFont="1" applyFill="1" applyBorder="1" applyAlignment="1"/>
    <xf numFmtId="49" fontId="28" fillId="59" borderId="107" xfId="0" applyNumberFormat="1" applyFont="1" applyFill="1" applyBorder="1" applyAlignment="1"/>
    <xf numFmtId="43" fontId="28" fillId="59" borderId="4" xfId="0" applyNumberFormat="1" applyFont="1" applyFill="1" applyBorder="1"/>
    <xf numFmtId="43" fontId="28" fillId="59" borderId="107" xfId="0" applyNumberFormat="1" applyFont="1" applyFill="1" applyBorder="1" applyAlignment="1">
      <alignment horizontal="right" vertical="center"/>
    </xf>
    <xf numFmtId="43" fontId="28" fillId="59" borderId="115" xfId="0" applyNumberFormat="1" applyFont="1" applyFill="1" applyBorder="1" applyAlignment="1">
      <alignment horizontal="right" vertical="center"/>
    </xf>
    <xf numFmtId="43" fontId="28" fillId="59" borderId="101" xfId="0" applyNumberFormat="1" applyFont="1" applyFill="1" applyBorder="1" applyAlignment="1">
      <alignment horizontal="right"/>
    </xf>
    <xf numFmtId="43" fontId="28" fillId="59" borderId="102" xfId="0" applyNumberFormat="1" applyFont="1" applyFill="1" applyBorder="1" applyAlignment="1">
      <alignment horizontal="right"/>
    </xf>
    <xf numFmtId="49" fontId="28" fillId="46" borderId="13" xfId="0" applyNumberFormat="1" applyFont="1" applyFill="1" applyBorder="1" applyAlignment="1"/>
    <xf numFmtId="0" fontId="0" fillId="59" borderId="0" xfId="0" applyFill="1"/>
    <xf numFmtId="49" fontId="28" fillId="59" borderId="13" xfId="0" applyNumberFormat="1" applyFont="1" applyFill="1" applyBorder="1" applyAlignment="1"/>
    <xf numFmtId="43" fontId="28" fillId="59" borderId="15" xfId="1" applyNumberFormat="1" applyFont="1" applyFill="1" applyBorder="1" applyAlignment="1"/>
    <xf numFmtId="43" fontId="28" fillId="59" borderId="101" xfId="1" applyNumberFormat="1" applyFont="1" applyFill="1" applyBorder="1" applyAlignment="1"/>
    <xf numFmtId="43" fontId="28" fillId="59" borderId="13" xfId="1" applyNumberFormat="1" applyFont="1" applyFill="1" applyBorder="1" applyAlignment="1"/>
    <xf numFmtId="43" fontId="28" fillId="59" borderId="102" xfId="0" applyNumberFormat="1" applyFont="1" applyFill="1" applyBorder="1" applyAlignment="1"/>
    <xf numFmtId="43" fontId="28" fillId="59" borderId="14" xfId="1" applyNumberFormat="1" applyFont="1" applyFill="1" applyBorder="1" applyAlignment="1"/>
    <xf numFmtId="43" fontId="28" fillId="59" borderId="1" xfId="1" applyNumberFormat="1" applyFont="1" applyFill="1" applyBorder="1" applyAlignment="1"/>
    <xf numFmtId="43" fontId="28" fillId="59" borderId="15" xfId="0" applyNumberFormat="1" applyFont="1" applyFill="1" applyBorder="1" applyAlignment="1"/>
    <xf numFmtId="49" fontId="36" fillId="59" borderId="27" xfId="0" applyNumberFormat="1" applyFont="1" applyFill="1" applyBorder="1" applyProtection="1">
      <protection hidden="1"/>
    </xf>
    <xf numFmtId="43" fontId="28" fillId="59" borderId="4" xfId="0" applyNumberFormat="1" applyFont="1" applyFill="1" applyBorder="1" applyProtection="1">
      <protection hidden="1"/>
    </xf>
    <xf numFmtId="43" fontId="28" fillId="59" borderId="101" xfId="0" applyNumberFormat="1" applyFont="1" applyFill="1" applyBorder="1" applyAlignment="1" applyProtection="1">
      <protection hidden="1"/>
    </xf>
    <xf numFmtId="43" fontId="28" fillId="59" borderId="102" xfId="0" applyNumberFormat="1" applyFont="1" applyFill="1" applyBorder="1" applyAlignment="1" applyProtection="1">
      <protection hidden="1"/>
    </xf>
    <xf numFmtId="43" fontId="28" fillId="59" borderId="102" xfId="0" applyNumberFormat="1" applyFont="1" applyFill="1" applyBorder="1" applyAlignment="1" applyProtection="1">
      <alignment horizontal="right"/>
      <protection hidden="1"/>
    </xf>
    <xf numFmtId="43" fontId="28" fillId="59" borderId="13" xfId="0" applyNumberFormat="1" applyFont="1" applyFill="1" applyBorder="1" applyAlignment="1" applyProtection="1">
      <protection hidden="1"/>
    </xf>
    <xf numFmtId="43" fontId="28" fillId="59" borderId="15" xfId="0" applyNumberFormat="1" applyFont="1" applyFill="1" applyBorder="1" applyAlignment="1" applyProtection="1">
      <protection hidden="1"/>
    </xf>
    <xf numFmtId="43" fontId="28" fillId="59" borderId="51" xfId="0" applyNumberFormat="1" applyFont="1" applyFill="1" applyBorder="1" applyAlignment="1" applyProtection="1">
      <protection hidden="1"/>
    </xf>
    <xf numFmtId="0" fontId="0" fillId="59" borderId="0" xfId="0" applyFill="1" applyProtection="1">
      <protection hidden="1"/>
    </xf>
    <xf numFmtId="49" fontId="28" fillId="59" borderId="133" xfId="0" applyNumberFormat="1" applyFont="1" applyFill="1" applyBorder="1" applyAlignment="1" applyProtection="1">
      <protection hidden="1"/>
    </xf>
    <xf numFmtId="43" fontId="28" fillId="59" borderId="133" xfId="1" applyFont="1" applyFill="1" applyBorder="1" applyAlignment="1" applyProtection="1">
      <protection hidden="1"/>
    </xf>
    <xf numFmtId="43" fontId="28" fillId="59" borderId="101" xfId="1" applyFont="1" applyFill="1" applyBorder="1" applyAlignment="1" applyProtection="1">
      <protection hidden="1"/>
    </xf>
    <xf numFmtId="43" fontId="28" fillId="59" borderId="1" xfId="1" applyFont="1" applyFill="1" applyBorder="1" applyAlignment="1" applyProtection="1">
      <protection hidden="1"/>
    </xf>
    <xf numFmtId="43" fontId="28" fillId="47" borderId="15" xfId="0" applyNumberFormat="1" applyFont="1" applyFill="1" applyBorder="1" applyAlignment="1" applyProtection="1">
      <alignment horizontal="right"/>
      <protection hidden="1"/>
    </xf>
    <xf numFmtId="43" fontId="28" fillId="47" borderId="101" xfId="0" applyNumberFormat="1" applyFont="1" applyFill="1" applyBorder="1" applyAlignment="1" applyProtection="1">
      <alignment horizontal="right"/>
      <protection hidden="1"/>
    </xf>
    <xf numFmtId="43" fontId="28" fillId="59" borderId="15" xfId="0" applyNumberFormat="1" applyFont="1" applyFill="1" applyBorder="1" applyAlignment="1" applyProtection="1">
      <alignment horizontal="right"/>
      <protection hidden="1"/>
    </xf>
    <xf numFmtId="43" fontId="28" fillId="59" borderId="101" xfId="0" applyNumberFormat="1" applyFont="1" applyFill="1" applyBorder="1" applyAlignment="1" applyProtection="1">
      <alignment horizontal="right"/>
      <protection hidden="1"/>
    </xf>
    <xf numFmtId="49" fontId="36" fillId="60" borderId="27" xfId="0" applyNumberFormat="1" applyFont="1" applyFill="1" applyBorder="1" applyProtection="1">
      <protection hidden="1"/>
    </xf>
    <xf numFmtId="43" fontId="28" fillId="60" borderId="4" xfId="0" applyNumberFormat="1" applyFont="1" applyFill="1" applyBorder="1" applyProtection="1">
      <protection hidden="1"/>
    </xf>
    <xf numFmtId="43" fontId="28" fillId="60" borderId="101" xfId="0" applyNumberFormat="1" applyFont="1" applyFill="1" applyBorder="1" applyAlignment="1" applyProtection="1">
      <protection hidden="1"/>
    </xf>
    <xf numFmtId="43" fontId="28" fillId="60" borderId="102" xfId="0" applyNumberFormat="1" applyFont="1" applyFill="1" applyBorder="1" applyAlignment="1" applyProtection="1">
      <protection hidden="1"/>
    </xf>
    <xf numFmtId="43" fontId="28" fillId="60" borderId="15" xfId="0" applyNumberFormat="1" applyFont="1" applyFill="1" applyBorder="1" applyAlignment="1" applyProtection="1">
      <alignment horizontal="right"/>
      <protection hidden="1"/>
    </xf>
    <xf numFmtId="43" fontId="28" fillId="60" borderId="102" xfId="0" applyNumberFormat="1" applyFont="1" applyFill="1" applyBorder="1" applyAlignment="1" applyProtection="1">
      <alignment horizontal="right"/>
      <protection hidden="1"/>
    </xf>
    <xf numFmtId="43" fontId="28" fillId="60" borderId="13" xfId="0" applyNumberFormat="1" applyFont="1" applyFill="1" applyBorder="1" applyAlignment="1" applyProtection="1">
      <protection hidden="1"/>
    </xf>
    <xf numFmtId="43" fontId="28" fillId="60" borderId="15" xfId="0" applyNumberFormat="1" applyFont="1" applyFill="1" applyBorder="1" applyAlignment="1" applyProtection="1">
      <protection hidden="1"/>
    </xf>
    <xf numFmtId="43" fontId="28" fillId="60" borderId="51" xfId="0" applyNumberFormat="1" applyFont="1" applyFill="1" applyBorder="1" applyAlignment="1" applyProtection="1">
      <protection hidden="1"/>
    </xf>
    <xf numFmtId="0" fontId="0" fillId="60" borderId="0" xfId="0" applyFill="1" applyProtection="1">
      <protection hidden="1"/>
    </xf>
    <xf numFmtId="49" fontId="28" fillId="60" borderId="133" xfId="0" applyNumberFormat="1" applyFont="1" applyFill="1" applyBorder="1" applyAlignment="1" applyProtection="1">
      <protection hidden="1"/>
    </xf>
    <xf numFmtId="43" fontId="28" fillId="60" borderId="133" xfId="1" applyFont="1" applyFill="1" applyBorder="1" applyAlignment="1" applyProtection="1">
      <protection hidden="1"/>
    </xf>
    <xf numFmtId="43" fontId="28" fillId="60" borderId="101" xfId="1" applyFont="1" applyFill="1" applyBorder="1" applyAlignment="1" applyProtection="1">
      <protection hidden="1"/>
    </xf>
    <xf numFmtId="43" fontId="28" fillId="60" borderId="1" xfId="1" applyFont="1" applyFill="1" applyBorder="1" applyAlignment="1" applyProtection="1">
      <protection hidden="1"/>
    </xf>
    <xf numFmtId="0" fontId="0" fillId="60" borderId="0" xfId="0" applyFill="1"/>
    <xf numFmtId="4" fontId="1" fillId="60" borderId="2" xfId="2" applyNumberFormat="1" applyFont="1" applyFill="1" applyBorder="1" applyAlignment="1">
      <alignment vertical="center"/>
    </xf>
    <xf numFmtId="4" fontId="1" fillId="60" borderId="14" xfId="2" applyNumberFormat="1" applyFont="1" applyFill="1" applyBorder="1" applyAlignment="1">
      <alignment vertical="center"/>
    </xf>
    <xf numFmtId="4" fontId="1" fillId="60" borderId="1" xfId="2" applyNumberFormat="1" applyFont="1" applyFill="1" applyBorder="1" applyAlignment="1">
      <alignment vertical="center"/>
    </xf>
    <xf numFmtId="4" fontId="1" fillId="60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4" borderId="107" xfId="0" applyNumberFormat="1" applyFont="1" applyFill="1" applyBorder="1" applyAlignment="1"/>
    <xf numFmtId="43" fontId="28" fillId="44" borderId="3" xfId="1" applyNumberFormat="1" applyFont="1" applyFill="1" applyBorder="1" applyAlignment="1"/>
    <xf numFmtId="49" fontId="17" fillId="20" borderId="1" xfId="0" applyNumberFormat="1" applyFont="1" applyFill="1" applyBorder="1" applyAlignment="1" applyProtection="1">
      <alignment horizontal="left" vertical="center"/>
      <protection hidden="1"/>
    </xf>
    <xf numFmtId="43" fontId="17" fillId="20" borderId="0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29" borderId="62" xfId="0" applyNumberFormat="1" applyFont="1" applyFill="1" applyBorder="1" applyAlignment="1" applyProtection="1">
      <alignment horizontal="right" vertical="center"/>
      <protection hidden="1"/>
    </xf>
    <xf numFmtId="43" fontId="28" fillId="0" borderId="118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19" xfId="0" applyNumberFormat="1" applyFont="1" applyFill="1" applyBorder="1" applyAlignment="1"/>
    <xf numFmtId="43" fontId="28" fillId="0" borderId="116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17" xfId="0" applyNumberFormat="1" applyFont="1" applyFill="1" applyBorder="1" applyAlignment="1"/>
    <xf numFmtId="43" fontId="28" fillId="0" borderId="123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4" xfId="0" applyNumberFormat="1" applyFont="1" applyFill="1" applyBorder="1" applyAlignment="1"/>
    <xf numFmtId="43" fontId="17" fillId="20" borderId="4" xfId="0" applyNumberFormat="1" applyFont="1" applyFill="1" applyBorder="1" applyAlignment="1" applyProtection="1">
      <alignment horizontal="right" vertical="center"/>
      <protection hidden="1"/>
    </xf>
    <xf numFmtId="43" fontId="17" fillId="20" borderId="5" xfId="0" applyNumberFormat="1" applyFont="1" applyFill="1" applyBorder="1" applyAlignment="1" applyProtection="1">
      <alignment horizontal="center" vertical="center"/>
      <protection hidden="1"/>
    </xf>
    <xf numFmtId="43" fontId="17" fillId="20" borderId="5" xfId="0" applyNumberFormat="1" applyFont="1" applyFill="1" applyBorder="1" applyAlignment="1" applyProtection="1">
      <alignment horizontal="right" vertical="center"/>
      <protection hidden="1"/>
    </xf>
    <xf numFmtId="43" fontId="17" fillId="20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0" borderId="0" xfId="5" applyFont="1" applyFill="1" applyBorder="1" applyAlignment="1" applyProtection="1">
      <alignment horizontal="right"/>
      <protection hidden="1"/>
    </xf>
    <xf numFmtId="0" fontId="11" fillId="20" borderId="0" xfId="5" applyFont="1" applyFill="1" applyBorder="1" applyAlignment="1" applyProtection="1">
      <alignment horizontal="center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0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0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43" fontId="10" fillId="20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39" fontId="11" fillId="20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0" borderId="0" xfId="5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0" borderId="0" xfId="5" applyNumberFormat="1" applyFont="1" applyFill="1" applyBorder="1" applyAlignment="1" applyProtection="1">
      <alignment horizontal="center"/>
      <protection hidden="1"/>
    </xf>
    <xf numFmtId="4" fontId="11" fillId="20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0" fillId="20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11" fillId="20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3" fontId="15" fillId="51" borderId="3" xfId="0" applyNumberFormat="1" applyFont="1" applyFill="1" applyBorder="1" applyAlignment="1">
      <alignment vertical="center" wrapText="1"/>
    </xf>
    <xf numFmtId="43" fontId="15" fillId="51" borderId="12" xfId="0" applyNumberFormat="1" applyFont="1" applyFill="1" applyBorder="1" applyAlignment="1">
      <alignment vertical="center" wrapText="1"/>
    </xf>
    <xf numFmtId="0" fontId="15" fillId="51" borderId="0" xfId="0" applyFont="1" applyFill="1" applyBorder="1" applyAlignment="1">
      <alignment horizontal="center" vertical="center"/>
    </xf>
    <xf numFmtId="3" fontId="15" fillId="51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6" borderId="0" xfId="0" applyFont="1" applyFill="1" applyBorder="1" applyAlignment="1" applyProtection="1">
      <alignment horizontal="center" vertical="center" wrapText="1"/>
      <protection hidden="1"/>
    </xf>
    <xf numFmtId="166" fontId="17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34" xfId="0" applyFont="1" applyBorder="1" applyAlignment="1" applyProtection="1">
      <alignment horizontal="center"/>
      <protection hidden="1"/>
    </xf>
    <xf numFmtId="3" fontId="26" fillId="0" borderId="23" xfId="0" applyNumberFormat="1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51" fillId="10" borderId="2" xfId="0" applyNumberFormat="1" applyFont="1" applyFill="1" applyBorder="1" applyAlignment="1" applyProtection="1">
      <alignment vertical="center" wrapText="1"/>
      <protection hidden="1"/>
    </xf>
    <xf numFmtId="4" fontId="51" fillId="10" borderId="1" xfId="0" applyNumberFormat="1" applyFont="1" applyFill="1" applyBorder="1" applyAlignment="1" applyProtection="1">
      <alignment vertical="center" wrapText="1"/>
      <protection hidden="1"/>
    </xf>
    <xf numFmtId="4" fontId="51" fillId="11" borderId="3" xfId="0" applyNumberFormat="1" applyFont="1" applyFill="1" applyBorder="1" applyAlignment="1" applyProtection="1">
      <alignment vertical="center" wrapText="1"/>
      <protection hidden="1"/>
    </xf>
    <xf numFmtId="4" fontId="12" fillId="0" borderId="14" xfId="0" applyNumberFormat="1" applyFont="1" applyBorder="1" applyAlignment="1">
      <alignment horizontal="center" vertical="center" wrapText="1"/>
    </xf>
    <xf numFmtId="4" fontId="51" fillId="3" borderId="2" xfId="0" applyNumberFormat="1" applyFont="1" applyFill="1" applyBorder="1" applyAlignment="1">
      <alignment vertical="center" wrapText="1"/>
    </xf>
    <xf numFmtId="4" fontId="51" fillId="4" borderId="1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4" fontId="51" fillId="0" borderId="1" xfId="0" applyNumberFormat="1" applyFont="1" applyFill="1" applyBorder="1" applyAlignment="1" applyProtection="1">
      <alignment vertical="center" wrapText="1"/>
      <protection hidden="1"/>
    </xf>
    <xf numFmtId="4" fontId="51" fillId="0" borderId="1" xfId="0" applyNumberFormat="1" applyFont="1" applyFill="1" applyBorder="1" applyAlignment="1">
      <alignment vertical="center" wrapText="1"/>
    </xf>
    <xf numFmtId="164" fontId="51" fillId="19" borderId="1" xfId="0" applyNumberFormat="1" applyFont="1" applyFill="1" applyBorder="1" applyAlignment="1" applyProtection="1">
      <alignment vertical="center" wrapText="1"/>
      <protection hidden="1"/>
    </xf>
    <xf numFmtId="4" fontId="51" fillId="19" borderId="1" xfId="0" applyNumberFormat="1" applyFont="1" applyFill="1" applyBorder="1" applyAlignment="1" applyProtection="1">
      <alignment vertical="center" wrapText="1"/>
      <protection hidden="1"/>
    </xf>
    <xf numFmtId="0" fontId="51" fillId="0" borderId="14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5" borderId="12" xfId="0" applyNumberFormat="1" applyFont="1" applyFill="1" applyBorder="1" applyAlignment="1">
      <alignment vertical="center" wrapText="1"/>
    </xf>
    <xf numFmtId="4" fontId="51" fillId="5" borderId="8" xfId="0" applyNumberFormat="1" applyFont="1" applyFill="1" applyBorder="1" applyAlignment="1">
      <alignment vertical="center" wrapText="1"/>
    </xf>
    <xf numFmtId="4" fontId="51" fillId="0" borderId="14" xfId="0" applyNumberFormat="1" applyFont="1" applyFill="1" applyBorder="1" applyAlignment="1">
      <alignment vertical="center" wrapText="1"/>
    </xf>
    <xf numFmtId="4" fontId="51" fillId="6" borderId="13" xfId="0" applyNumberFormat="1" applyFont="1" applyFill="1" applyBorder="1" applyAlignment="1">
      <alignment vertical="center" wrapText="1"/>
    </xf>
    <xf numFmtId="4" fontId="51" fillId="6" borderId="1" xfId="0" applyNumberFormat="1" applyFont="1" applyFill="1" applyBorder="1" applyAlignment="1">
      <alignment vertical="center" wrapText="1"/>
    </xf>
    <xf numFmtId="4" fontId="51" fillId="7" borderId="1" xfId="0" applyNumberFormat="1" applyFont="1" applyFill="1" applyBorder="1" applyAlignment="1">
      <alignment vertical="center" wrapText="1"/>
    </xf>
    <xf numFmtId="4" fontId="51" fillId="8" borderId="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4" fontId="51" fillId="9" borderId="12" xfId="0" applyNumberFormat="1" applyFont="1" applyFill="1" applyBorder="1" applyAlignment="1">
      <alignment vertical="center" wrapText="1"/>
    </xf>
    <xf numFmtId="4" fontId="51" fillId="9" borderId="8" xfId="0" applyNumberFormat="1" applyFont="1" applyFill="1" applyBorder="1" applyAlignment="1">
      <alignment vertical="center" wrapText="1"/>
    </xf>
    <xf numFmtId="4" fontId="51" fillId="12" borderId="1" xfId="0" applyNumberFormat="1" applyFont="1" applyFill="1" applyBorder="1" applyAlignment="1">
      <alignment vertical="center" wrapText="1"/>
    </xf>
    <xf numFmtId="4" fontId="51" fillId="0" borderId="6" xfId="0" applyNumberFormat="1" applyFont="1" applyFill="1" applyBorder="1" applyAlignment="1">
      <alignment vertical="center" wrapText="1"/>
    </xf>
    <xf numFmtId="4" fontId="51" fillId="0" borderId="3" xfId="0" applyNumberFormat="1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4" fontId="51" fillId="2" borderId="14" xfId="0" applyNumberFormat="1" applyFont="1" applyFill="1" applyBorder="1" applyAlignment="1">
      <alignment vertical="center" wrapText="1"/>
    </xf>
    <xf numFmtId="4" fontId="51" fillId="13" borderId="11" xfId="0" applyNumberFormat="1" applyFont="1" applyFill="1" applyBorder="1" applyAlignment="1">
      <alignment vertical="center" wrapText="1"/>
    </xf>
    <xf numFmtId="4" fontId="51" fillId="13" borderId="2" xfId="0" applyNumberFormat="1" applyFont="1" applyFill="1" applyBorder="1" applyAlignment="1">
      <alignment vertical="center" wrapText="1"/>
    </xf>
    <xf numFmtId="4" fontId="51" fillId="14" borderId="12" xfId="0" applyNumberFormat="1" applyFont="1" applyFill="1" applyBorder="1" applyAlignment="1">
      <alignment vertical="center" wrapText="1"/>
    </xf>
    <xf numFmtId="4" fontId="51" fillId="14" borderId="8" xfId="0" applyNumberFormat="1" applyFont="1" applyFill="1" applyBorder="1" applyAlignment="1">
      <alignment vertical="center" wrapText="1"/>
    </xf>
    <xf numFmtId="4" fontId="51" fillId="0" borderId="2" xfId="0" applyNumberFormat="1" applyFont="1" applyFill="1" applyBorder="1" applyAlignment="1">
      <alignment vertical="center" wrapText="1"/>
    </xf>
    <xf numFmtId="4" fontId="51" fillId="17" borderId="1" xfId="0" applyNumberFormat="1" applyFont="1" applyFill="1" applyBorder="1" applyAlignment="1">
      <alignment vertical="center" wrapText="1"/>
    </xf>
    <xf numFmtId="4" fontId="51" fillId="17" borderId="13" xfId="0" applyNumberFormat="1" applyFont="1" applyFill="1" applyBorder="1" applyAlignment="1">
      <alignment vertical="center" wrapText="1"/>
    </xf>
    <xf numFmtId="4" fontId="51" fillId="15" borderId="13" xfId="0" applyNumberFormat="1" applyFont="1" applyFill="1" applyBorder="1" applyAlignment="1">
      <alignment vertical="center" wrapText="1"/>
    </xf>
    <xf numFmtId="4" fontId="51" fillId="15" borderId="1" xfId="0" applyNumberFormat="1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4" fontId="51" fillId="0" borderId="5" xfId="0" applyNumberFormat="1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52" fillId="65" borderId="0" xfId="0" applyFont="1" applyFill="1" applyAlignment="1">
      <alignment vertical="center"/>
    </xf>
    <xf numFmtId="0" fontId="53" fillId="16" borderId="0" xfId="0" applyFont="1" applyFill="1" applyAlignment="1">
      <alignment vertical="center"/>
    </xf>
    <xf numFmtId="4" fontId="52" fillId="65" borderId="1" xfId="0" applyNumberFormat="1" applyFont="1" applyFill="1" applyBorder="1" applyAlignment="1">
      <alignment vertical="center" wrapText="1"/>
    </xf>
    <xf numFmtId="4" fontId="53" fillId="16" borderId="1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" xfId="0" applyFont="1" applyBorder="1" applyAlignment="1" applyProtection="1">
      <alignment horizontal="center" vertical="center" wrapText="1"/>
      <protection hidden="1"/>
    </xf>
    <xf numFmtId="0" fontId="51" fillId="0" borderId="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65" fontId="51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168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65" fontId="51" fillId="0" borderId="8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 wrapText="1"/>
    </xf>
    <xf numFmtId="4" fontId="51" fillId="0" borderId="5" xfId="0" applyNumberFormat="1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0" xfId="0" applyFont="1"/>
    <xf numFmtId="0" fontId="12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/>
    <xf numFmtId="0" fontId="51" fillId="0" borderId="0" xfId="0" applyFont="1" applyBorder="1"/>
    <xf numFmtId="0" fontId="23" fillId="0" borderId="13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01" xfId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43" fontId="28" fillId="64" borderId="1" xfId="0" applyNumberFormat="1" applyFont="1" applyFill="1" applyBorder="1" applyAlignment="1">
      <alignment horizontal="right"/>
    </xf>
    <xf numFmtId="43" fontId="28" fillId="64" borderId="3" xfId="0" applyNumberFormat="1" applyFont="1" applyFill="1" applyBorder="1" applyAlignment="1">
      <alignment horizontal="right"/>
    </xf>
    <xf numFmtId="43" fontId="28" fillId="64" borderId="4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vertical="center" wrapText="1"/>
    </xf>
    <xf numFmtId="4" fontId="51" fillId="0" borderId="6" xfId="0" applyNumberFormat="1" applyFont="1" applyBorder="1" applyAlignment="1">
      <alignment vertical="center"/>
    </xf>
    <xf numFmtId="0" fontId="52" fillId="65" borderId="8" xfId="0" applyFont="1" applyFill="1" applyBorder="1" applyAlignment="1">
      <alignment vertical="center"/>
    </xf>
    <xf numFmtId="4" fontId="53" fillId="16" borderId="13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7" fillId="0" borderId="0" xfId="0" applyFont="1" applyBorder="1" applyAlignment="1">
      <alignment horizontal="center" vertical="top" wrapText="1"/>
    </xf>
    <xf numFmtId="0" fontId="58" fillId="0" borderId="4" xfId="0" applyFont="1" applyBorder="1" applyProtection="1">
      <protection hidden="1"/>
    </xf>
    <xf numFmtId="15" fontId="59" fillId="0" borderId="7" xfId="0" applyNumberFormat="1" applyFont="1" applyFill="1" applyBorder="1" applyAlignment="1" applyProtection="1">
      <alignment horizontal="center"/>
      <protection hidden="1"/>
    </xf>
    <xf numFmtId="0" fontId="58" fillId="0" borderId="0" xfId="0" applyFont="1" applyFill="1" applyProtection="1">
      <protection hidden="1"/>
    </xf>
    <xf numFmtId="0" fontId="58" fillId="0" borderId="7" xfId="0" applyFont="1" applyBorder="1" applyProtection="1">
      <protection hidden="1"/>
    </xf>
    <xf numFmtId="0" fontId="58" fillId="0" borderId="7" xfId="0" applyFont="1" applyFill="1" applyBorder="1" applyProtection="1">
      <protection hidden="1"/>
    </xf>
    <xf numFmtId="0" fontId="58" fillId="0" borderId="9" xfId="0" applyFont="1" applyBorder="1" applyProtection="1"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0" fontId="14" fillId="51" borderId="0" xfId="0" applyFont="1" applyFill="1" applyBorder="1" applyAlignment="1">
      <alignment horizontal="center" vertical="center" wrapText="1"/>
    </xf>
    <xf numFmtId="0" fontId="14" fillId="51" borderId="0" xfId="0" applyFont="1" applyFill="1" applyBorder="1" applyAlignment="1">
      <alignment horizontal="center" vertical="center" wrapText="1" shrinkToFit="1"/>
    </xf>
    <xf numFmtId="4" fontId="10" fillId="24" borderId="0" xfId="5" applyNumberFormat="1" applyFont="1" applyFill="1" applyBorder="1" applyAlignment="1" applyProtection="1">
      <alignment horizontal="right" vertical="center" wrapText="1"/>
      <protection hidden="1"/>
    </xf>
    <xf numFmtId="43" fontId="3" fillId="20" borderId="0" xfId="5" applyNumberFormat="1" applyFont="1" applyFill="1" applyBorder="1" applyAlignment="1" applyProtection="1">
      <alignment horizontal="center" vertical="center" wrapText="1"/>
      <protection hidden="1"/>
    </xf>
    <xf numFmtId="43" fontId="3" fillId="20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67" borderId="0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5" fillId="51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5" fillId="51" borderId="0" xfId="0" applyNumberFormat="1" applyFont="1" applyFill="1" applyBorder="1" applyAlignment="1">
      <alignment horizontal="center" vertical="center" wrapText="1"/>
    </xf>
    <xf numFmtId="166" fontId="15" fillId="51" borderId="0" xfId="0" applyNumberFormat="1" applyFont="1" applyFill="1" applyBorder="1" applyAlignment="1">
      <alignment horizontal="center" vertical="center" wrapText="1"/>
    </xf>
    <xf numFmtId="43" fontId="14" fillId="51" borderId="0" xfId="0" applyNumberFormat="1" applyFont="1" applyFill="1" applyBorder="1" applyAlignment="1">
      <alignment horizontal="center" vertical="center" wrapText="1"/>
    </xf>
    <xf numFmtId="0" fontId="61" fillId="20" borderId="0" xfId="5" applyFont="1" applyFill="1" applyBorder="1" applyAlignment="1" applyProtection="1">
      <alignment horizontal="center" vertical="center" wrapText="1"/>
      <protection hidden="1"/>
    </xf>
    <xf numFmtId="0" fontId="3" fillId="20" borderId="0" xfId="5" applyFont="1" applyFill="1" applyBorder="1" applyAlignment="1" applyProtection="1">
      <alignment horizontal="center" vertical="center" wrapText="1"/>
      <protection hidden="1"/>
    </xf>
    <xf numFmtId="0" fontId="3" fillId="0" borderId="0" xfId="5" applyFont="1" applyFill="1" applyBorder="1" applyAlignment="1" applyProtection="1">
      <alignment horizontal="center" vertical="center" wrapText="1"/>
      <protection hidden="1"/>
    </xf>
    <xf numFmtId="0" fontId="3" fillId="23" borderId="0" xfId="5" applyFont="1" applyFill="1" applyBorder="1" applyAlignment="1" applyProtection="1">
      <alignment horizontal="center" vertical="center" wrapText="1"/>
      <protection hidden="1"/>
    </xf>
    <xf numFmtId="0" fontId="3" fillId="67" borderId="0" xfId="5" applyFont="1" applyFill="1" applyBorder="1" applyAlignment="1" applyProtection="1">
      <alignment horizontal="center" vertical="center" wrapText="1"/>
      <protection hidden="1"/>
    </xf>
    <xf numFmtId="43" fontId="3" fillId="20" borderId="164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Border="1"/>
    <xf numFmtId="0" fontId="17" fillId="26" borderId="0" xfId="0" applyFont="1" applyFill="1" applyBorder="1" applyAlignment="1" applyProtection="1">
      <alignment horizontal="center" vertical="center" wrapText="1"/>
      <protection hidden="1"/>
    </xf>
    <xf numFmtId="43" fontId="28" fillId="70" borderId="101" xfId="1" applyNumberFormat="1" applyFont="1" applyFill="1" applyBorder="1" applyAlignment="1"/>
    <xf numFmtId="0" fontId="17" fillId="67" borderId="1" xfId="0" applyFont="1" applyFill="1" applyBorder="1" applyAlignment="1" applyProtection="1">
      <alignment vertical="center" wrapText="1"/>
      <protection hidden="1"/>
    </xf>
    <xf numFmtId="43" fontId="17" fillId="67" borderId="1" xfId="0" applyNumberFormat="1" applyFont="1" applyFill="1" applyBorder="1" applyAlignment="1" applyProtection="1">
      <alignment horizontal="right" vertical="center"/>
      <protection hidden="1"/>
    </xf>
    <xf numFmtId="43" fontId="17" fillId="67" borderId="61" xfId="0" applyNumberFormat="1" applyFont="1" applyFill="1" applyBorder="1" applyAlignment="1" applyProtection="1">
      <alignment horizontal="right" vertical="center"/>
      <protection hidden="1"/>
    </xf>
    <xf numFmtId="43" fontId="17" fillId="67" borderId="13" xfId="0" applyNumberFormat="1" applyFont="1" applyFill="1" applyBorder="1" applyAlignment="1" applyProtection="1">
      <alignment horizontal="right" vertical="center"/>
      <protection hidden="1"/>
    </xf>
    <xf numFmtId="43" fontId="17" fillId="67" borderId="15" xfId="0" applyNumberFormat="1" applyFont="1" applyFill="1" applyBorder="1" applyAlignment="1" applyProtection="1">
      <alignment horizontal="right" vertical="center"/>
      <protection hidden="1"/>
    </xf>
    <xf numFmtId="0" fontId="17" fillId="67" borderId="59" xfId="0" applyFont="1" applyFill="1" applyBorder="1" applyAlignment="1" applyProtection="1">
      <alignment horizontal="left" vertical="center"/>
      <protection hidden="1"/>
    </xf>
    <xf numFmtId="49" fontId="17" fillId="67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43" fontId="17" fillId="71" borderId="1" xfId="0" applyNumberFormat="1" applyFont="1" applyFill="1" applyBorder="1" applyAlignment="1" applyProtection="1">
      <alignment horizontal="right" vertical="center"/>
      <protection hidden="1"/>
    </xf>
    <xf numFmtId="43" fontId="17" fillId="71" borderId="61" xfId="0" applyNumberFormat="1" applyFont="1" applyFill="1" applyBorder="1" applyAlignment="1" applyProtection="1">
      <alignment horizontal="right" vertical="center"/>
      <protection hidden="1"/>
    </xf>
    <xf numFmtId="43" fontId="17" fillId="71" borderId="13" xfId="0" applyNumberFormat="1" applyFont="1" applyFill="1" applyBorder="1" applyAlignment="1" applyProtection="1">
      <alignment horizontal="right" vertical="center"/>
      <protection hidden="1"/>
    </xf>
    <xf numFmtId="43" fontId="17" fillId="71" borderId="15" xfId="0" applyNumberFormat="1" applyFont="1" applyFill="1" applyBorder="1" applyAlignment="1" applyProtection="1">
      <alignment horizontal="right" vertical="center"/>
      <protection hidden="1"/>
    </xf>
    <xf numFmtId="0" fontId="17" fillId="71" borderId="59" xfId="0" applyFont="1" applyFill="1" applyBorder="1" applyAlignment="1" applyProtection="1">
      <alignment horizontal="left" vertical="center"/>
      <protection hidden="1"/>
    </xf>
    <xf numFmtId="0" fontId="17" fillId="0" borderId="15" xfId="0" applyFont="1" applyBorder="1" applyProtection="1">
      <protection hidden="1"/>
    </xf>
    <xf numFmtId="0" fontId="17" fillId="0" borderId="13" xfId="0" applyFont="1" applyBorder="1" applyProtection="1">
      <protection hidden="1"/>
    </xf>
    <xf numFmtId="0" fontId="17" fillId="0" borderId="14" xfId="0" applyFont="1" applyBorder="1" applyProtection="1">
      <protection hidden="1"/>
    </xf>
    <xf numFmtId="43" fontId="17" fillId="20" borderId="177" xfId="0" applyNumberFormat="1" applyFont="1" applyFill="1" applyBorder="1" applyAlignment="1" applyProtection="1">
      <alignment horizontal="right" vertical="center"/>
      <protection hidden="1"/>
    </xf>
    <xf numFmtId="43" fontId="17" fillId="20" borderId="178" xfId="0" applyNumberFormat="1" applyFont="1" applyFill="1" applyBorder="1" applyAlignment="1" applyProtection="1">
      <alignment horizontal="right" vertical="center"/>
      <protection hidden="1"/>
    </xf>
    <xf numFmtId="43" fontId="17" fillId="20" borderId="179" xfId="0" applyNumberFormat="1" applyFont="1" applyFill="1" applyBorder="1" applyAlignment="1" applyProtection="1">
      <alignment horizontal="right" vertical="center"/>
      <protection hidden="1"/>
    </xf>
    <xf numFmtId="0" fontId="17" fillId="0" borderId="178" xfId="0" applyFont="1" applyBorder="1" applyProtection="1">
      <protection hidden="1"/>
    </xf>
    <xf numFmtId="0" fontId="17" fillId="0" borderId="180" xfId="0" applyFont="1" applyBorder="1" applyProtection="1">
      <protection hidden="1"/>
    </xf>
    <xf numFmtId="0" fontId="17" fillId="0" borderId="179" xfId="0" applyFont="1" applyBorder="1" applyProtection="1">
      <protection hidden="1"/>
    </xf>
    <xf numFmtId="0" fontId="17" fillId="0" borderId="181" xfId="0" applyFont="1" applyFill="1" applyBorder="1" applyAlignment="1" applyProtection="1">
      <alignment vertical="center"/>
      <protection hidden="1"/>
    </xf>
    <xf numFmtId="4" fontId="17" fillId="0" borderId="177" xfId="0" applyNumberFormat="1" applyFont="1" applyFill="1" applyBorder="1" applyAlignment="1" applyProtection="1">
      <alignment vertical="center"/>
      <protection hidden="1"/>
    </xf>
    <xf numFmtId="0" fontId="66" fillId="29" borderId="1" xfId="0" applyFont="1" applyFill="1" applyBorder="1" applyAlignment="1" applyProtection="1">
      <alignment vertical="center" wrapText="1"/>
      <protection hidden="1"/>
    </xf>
    <xf numFmtId="43" fontId="66" fillId="29" borderId="1" xfId="0" applyNumberFormat="1" applyFont="1" applyFill="1" applyBorder="1" applyAlignment="1" applyProtection="1">
      <alignment horizontal="right" vertical="center"/>
      <protection hidden="1"/>
    </xf>
    <xf numFmtId="43" fontId="66" fillId="29" borderId="61" xfId="0" applyNumberFormat="1" applyFont="1" applyFill="1" applyBorder="1" applyAlignment="1" applyProtection="1">
      <alignment horizontal="right" vertical="center"/>
      <protection hidden="1"/>
    </xf>
    <xf numFmtId="43" fontId="66" fillId="29" borderId="13" xfId="0" applyNumberFormat="1" applyFont="1" applyFill="1" applyBorder="1" applyAlignment="1" applyProtection="1">
      <alignment horizontal="right" vertical="center"/>
      <protection hidden="1"/>
    </xf>
    <xf numFmtId="0" fontId="66" fillId="27" borderId="13" xfId="0" applyFont="1" applyFill="1" applyBorder="1" applyAlignment="1" applyProtection="1">
      <alignment horizontal="center" vertical="center" wrapText="1"/>
      <protection hidden="1"/>
    </xf>
    <xf numFmtId="0" fontId="66" fillId="27" borderId="1" xfId="0" applyFont="1" applyFill="1" applyBorder="1" applyAlignment="1" applyProtection="1">
      <alignment horizontal="center" vertical="center" wrapText="1"/>
      <protection hidden="1"/>
    </xf>
    <xf numFmtId="0" fontId="17" fillId="20" borderId="183" xfId="0" applyFont="1" applyFill="1" applyBorder="1" applyAlignment="1" applyProtection="1">
      <alignment horizontal="left" vertical="center"/>
      <protection hidden="1"/>
    </xf>
    <xf numFmtId="0" fontId="63" fillId="0" borderId="1" xfId="0" applyFont="1" applyBorder="1" applyAlignment="1" applyProtection="1">
      <alignment vertical="center"/>
      <protection hidden="1"/>
    </xf>
    <xf numFmtId="0" fontId="64" fillId="71" borderId="1" xfId="0" applyFont="1" applyFill="1" applyBorder="1" applyAlignment="1" applyProtection="1">
      <alignment vertical="center" wrapText="1"/>
      <protection hidden="1"/>
    </xf>
    <xf numFmtId="0" fontId="64" fillId="0" borderId="0" xfId="0" applyFont="1" applyBorder="1" applyAlignment="1" applyProtection="1">
      <alignment vertical="center"/>
      <protection hidden="1"/>
    </xf>
    <xf numFmtId="0" fontId="63" fillId="20" borderId="1" xfId="0" applyFont="1" applyFill="1" applyBorder="1" applyAlignment="1" applyProtection="1">
      <alignment vertical="center" wrapText="1"/>
      <protection hidden="1"/>
    </xf>
    <xf numFmtId="0" fontId="65" fillId="40" borderId="1" xfId="0" applyFont="1" applyFill="1" applyBorder="1" applyAlignment="1" applyProtection="1">
      <alignment vertical="center" wrapText="1"/>
      <protection hidden="1"/>
    </xf>
    <xf numFmtId="166" fontId="17" fillId="67" borderId="0" xfId="0" applyNumberFormat="1" applyFont="1" applyFill="1" applyBorder="1" applyAlignment="1" applyProtection="1">
      <alignment horizontal="center" vertical="center" wrapText="1"/>
      <protection hidden="1"/>
    </xf>
    <xf numFmtId="0" fontId="66" fillId="27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vertical="center"/>
      <protection hidden="1"/>
    </xf>
    <xf numFmtId="43" fontId="17" fillId="0" borderId="1" xfId="0" applyNumberFormat="1" applyFont="1" applyBorder="1" applyAlignment="1" applyProtection="1">
      <alignment vertical="center"/>
      <protection hidden="1"/>
    </xf>
    <xf numFmtId="43" fontId="0" fillId="0" borderId="1" xfId="0" applyNumberFormat="1" applyBorder="1" applyAlignment="1">
      <alignment vertical="center"/>
    </xf>
    <xf numFmtId="4" fontId="17" fillId="28" borderId="8" xfId="0" applyNumberFormat="1" applyFont="1" applyFill="1" applyBorder="1" applyAlignment="1" applyProtection="1">
      <alignment vertical="center" wrapText="1"/>
      <protection hidden="1"/>
    </xf>
    <xf numFmtId="4" fontId="17" fillId="0" borderId="6" xfId="0" applyNumberFormat="1" applyFont="1" applyFill="1" applyBorder="1" applyAlignment="1" applyProtection="1">
      <alignment vertical="center"/>
      <protection hidden="1"/>
    </xf>
    <xf numFmtId="0" fontId="63" fillId="67" borderId="1" xfId="0" applyFont="1" applyFill="1" applyBorder="1" applyAlignment="1" applyProtection="1">
      <alignment vertical="center" wrapText="1"/>
      <protection hidden="1"/>
    </xf>
    <xf numFmtId="0" fontId="17" fillId="0" borderId="184" xfId="0" applyFont="1" applyBorder="1" applyProtection="1">
      <protection hidden="1"/>
    </xf>
    <xf numFmtId="49" fontId="62" fillId="20" borderId="1" xfId="0" applyNumberFormat="1" applyFont="1" applyFill="1" applyBorder="1" applyAlignment="1" applyProtection="1">
      <alignment vertical="center" wrapText="1"/>
      <protection hidden="1"/>
    </xf>
    <xf numFmtId="4" fontId="17" fillId="0" borderId="1" xfId="0" applyNumberFormat="1" applyFont="1" applyBorder="1" applyAlignment="1" applyProtection="1">
      <alignment horizontal="center" vertical="center"/>
      <protection hidden="1"/>
    </xf>
    <xf numFmtId="49" fontId="17" fillId="71" borderId="1" xfId="0" applyNumberFormat="1" applyFont="1" applyFill="1" applyBorder="1" applyAlignment="1" applyProtection="1">
      <alignment horizontal="center" vertical="center"/>
      <protection hidden="1"/>
    </xf>
    <xf numFmtId="0" fontId="17" fillId="72" borderId="1" xfId="0" applyFont="1" applyFill="1" applyBorder="1" applyAlignment="1" applyProtection="1">
      <alignment horizontal="left" vertical="center"/>
      <protection hidden="1"/>
    </xf>
    <xf numFmtId="166" fontId="17" fillId="72" borderId="1" xfId="0" applyNumberFormat="1" applyFont="1" applyFill="1" applyBorder="1" applyAlignment="1" applyProtection="1">
      <alignment horizontal="right" vertical="center"/>
      <protection hidden="1"/>
    </xf>
    <xf numFmtId="43" fontId="17" fillId="72" borderId="1" xfId="0" applyNumberFormat="1" applyFont="1" applyFill="1" applyBorder="1" applyAlignment="1" applyProtection="1">
      <alignment horizontal="right" vertical="center"/>
      <protection hidden="1"/>
    </xf>
    <xf numFmtId="0" fontId="63" fillId="72" borderId="1" xfId="0" applyFont="1" applyFill="1" applyBorder="1" applyAlignment="1" applyProtection="1">
      <alignment vertical="center" wrapText="1"/>
      <protection hidden="1"/>
    </xf>
    <xf numFmtId="49" fontId="17" fillId="72" borderId="1" xfId="0" applyNumberFormat="1" applyFont="1" applyFill="1" applyBorder="1" applyAlignment="1" applyProtection="1">
      <alignment horizontal="center" vertical="center"/>
      <protection hidden="1"/>
    </xf>
    <xf numFmtId="0" fontId="67" fillId="30" borderId="1" xfId="0" applyFont="1" applyFill="1" applyBorder="1" applyAlignment="1" applyProtection="1">
      <alignment vertical="center" wrapText="1"/>
      <protection hidden="1"/>
    </xf>
    <xf numFmtId="43" fontId="66" fillId="29" borderId="63" xfId="0" applyNumberFormat="1" applyFont="1" applyFill="1" applyBorder="1" applyAlignment="1" applyProtection="1">
      <alignment horizontal="right" vertical="center"/>
      <protection hidden="1"/>
    </xf>
    <xf numFmtId="43" fontId="66" fillId="29" borderId="185" xfId="0" applyNumberFormat="1" applyFont="1" applyFill="1" applyBorder="1" applyAlignment="1" applyProtection="1">
      <alignment horizontal="right" vertical="center"/>
      <protection hidden="1"/>
    </xf>
    <xf numFmtId="43" fontId="17" fillId="20" borderId="186" xfId="0" applyNumberFormat="1" applyFont="1" applyFill="1" applyBorder="1" applyAlignment="1" applyProtection="1">
      <alignment horizontal="right" vertical="center"/>
      <protection hidden="1"/>
    </xf>
    <xf numFmtId="43" fontId="20" fillId="29" borderId="186" xfId="0" applyNumberFormat="1" applyFont="1" applyFill="1" applyBorder="1" applyAlignment="1" applyProtection="1">
      <alignment horizontal="right" vertical="center"/>
      <protection hidden="1"/>
    </xf>
    <xf numFmtId="43" fontId="20" fillId="29" borderId="63" xfId="0" applyNumberFormat="1" applyFont="1" applyFill="1" applyBorder="1" applyAlignment="1" applyProtection="1">
      <alignment horizontal="right" vertical="center"/>
      <protection hidden="1"/>
    </xf>
    <xf numFmtId="4" fontId="68" fillId="0" borderId="5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0" fontId="69" fillId="0" borderId="0" xfId="0" applyFont="1" applyProtection="1">
      <protection hidden="1"/>
    </xf>
    <xf numFmtId="0" fontId="55" fillId="0" borderId="6" xfId="0" applyFont="1" applyBorder="1" applyAlignment="1" applyProtection="1">
      <alignment horizontal="center" vertical="center" wrapText="1"/>
      <protection hidden="1"/>
    </xf>
    <xf numFmtId="0" fontId="55" fillId="0" borderId="3" xfId="0" applyNumberFormat="1" applyFont="1" applyBorder="1" applyAlignment="1" applyProtection="1">
      <alignment horizontal="center" vertical="center" wrapText="1"/>
      <protection hidden="1"/>
    </xf>
    <xf numFmtId="0" fontId="55" fillId="0" borderId="3" xfId="0" applyFont="1" applyBorder="1" applyAlignment="1" applyProtection="1">
      <alignment horizontal="center" vertical="center" wrapText="1"/>
      <protection hidden="1"/>
    </xf>
    <xf numFmtId="0" fontId="69" fillId="0" borderId="14" xfId="0" applyFont="1" applyBorder="1" applyProtection="1">
      <protection hidden="1"/>
    </xf>
    <xf numFmtId="0" fontId="55" fillId="0" borderId="14" xfId="0" applyFont="1" applyBorder="1" applyAlignment="1" applyProtection="1">
      <alignment horizontal="center" vertical="center" wrapText="1"/>
      <protection hidden="1"/>
    </xf>
    <xf numFmtId="4" fontId="55" fillId="0" borderId="14" xfId="0" applyNumberFormat="1" applyFont="1" applyBorder="1" applyAlignment="1" applyProtection="1">
      <alignment horizontal="center" vertical="center" wrapText="1"/>
      <protection hidden="1"/>
    </xf>
    <xf numFmtId="0" fontId="55" fillId="0" borderId="5" xfId="0" applyFont="1" applyBorder="1" applyAlignment="1" applyProtection="1">
      <alignment horizontal="center" vertical="center" wrapText="1"/>
      <protection hidden="1"/>
    </xf>
    <xf numFmtId="0" fontId="69" fillId="10" borderId="1" xfId="0" applyFont="1" applyFill="1" applyBorder="1" applyAlignment="1" applyProtection="1">
      <alignment vertical="center"/>
      <protection hidden="1"/>
    </xf>
    <xf numFmtId="0" fontId="55" fillId="10" borderId="11" xfId="0" applyFont="1" applyFill="1" applyBorder="1" applyAlignment="1" applyProtection="1">
      <alignment vertical="center" wrapText="1"/>
      <protection hidden="1"/>
    </xf>
    <xf numFmtId="4" fontId="69" fillId="10" borderId="2" xfId="0" applyNumberFormat="1" applyFont="1" applyFill="1" applyBorder="1" applyAlignment="1" applyProtection="1">
      <alignment vertical="center" wrapText="1"/>
      <protection hidden="1"/>
    </xf>
    <xf numFmtId="4" fontId="69" fillId="10" borderId="9" xfId="0" applyNumberFormat="1" applyFont="1" applyFill="1" applyBorder="1" applyAlignment="1" applyProtection="1">
      <alignment vertical="center" wrapText="1"/>
      <protection hidden="1"/>
    </xf>
    <xf numFmtId="4" fontId="69" fillId="10" borderId="60" xfId="0" applyNumberFormat="1" applyFont="1" applyFill="1" applyBorder="1" applyAlignment="1" applyProtection="1">
      <alignment vertical="center" wrapText="1"/>
      <protection hidden="1"/>
    </xf>
    <xf numFmtId="4" fontId="69" fillId="10" borderId="11" xfId="0" applyNumberFormat="1" applyFont="1" applyFill="1" applyBorder="1" applyAlignment="1" applyProtection="1">
      <alignment vertical="center" wrapText="1"/>
      <protection hidden="1"/>
    </xf>
    <xf numFmtId="0" fontId="55" fillId="10" borderId="13" xfId="0" applyFont="1" applyFill="1" applyBorder="1" applyAlignment="1" applyProtection="1">
      <alignment vertical="center" wrapText="1"/>
      <protection hidden="1"/>
    </xf>
    <xf numFmtId="4" fontId="69" fillId="10" borderId="1" xfId="0" applyNumberFormat="1" applyFont="1" applyFill="1" applyBorder="1" applyAlignment="1" applyProtection="1">
      <alignment vertical="center" wrapText="1"/>
      <protection hidden="1"/>
    </xf>
    <xf numFmtId="4" fontId="69" fillId="10" borderId="15" xfId="0" applyNumberFormat="1" applyFont="1" applyFill="1" applyBorder="1" applyAlignment="1" applyProtection="1">
      <alignment vertical="center" wrapText="1"/>
      <protection hidden="1"/>
    </xf>
    <xf numFmtId="4" fontId="69" fillId="10" borderId="61" xfId="0" applyNumberFormat="1" applyFont="1" applyFill="1" applyBorder="1" applyAlignment="1" applyProtection="1">
      <alignment vertical="center" wrapText="1"/>
      <protection hidden="1"/>
    </xf>
    <xf numFmtId="4" fontId="69" fillId="10" borderId="13" xfId="0" applyNumberFormat="1" applyFont="1" applyFill="1" applyBorder="1" applyAlignment="1" applyProtection="1">
      <alignment vertical="center" wrapText="1"/>
      <protection hidden="1"/>
    </xf>
    <xf numFmtId="0" fontId="69" fillId="11" borderId="13" xfId="0" applyFont="1" applyFill="1" applyBorder="1" applyAlignment="1" applyProtection="1">
      <alignment vertical="center"/>
      <protection hidden="1"/>
    </xf>
    <xf numFmtId="0" fontId="55" fillId="11" borderId="6" xfId="0" applyFont="1" applyFill="1" applyBorder="1" applyAlignment="1" applyProtection="1">
      <alignment vertical="center" wrapText="1"/>
      <protection hidden="1"/>
    </xf>
    <xf numFmtId="4" fontId="69" fillId="11" borderId="3" xfId="0" applyNumberFormat="1" applyFont="1" applyFill="1" applyBorder="1" applyAlignment="1" applyProtection="1">
      <alignment vertical="center" wrapText="1"/>
      <protection hidden="1"/>
    </xf>
    <xf numFmtId="4" fontId="69" fillId="11" borderId="4" xfId="0" applyNumberFormat="1" applyFont="1" applyFill="1" applyBorder="1" applyAlignment="1" applyProtection="1">
      <alignment vertical="center" wrapText="1"/>
      <protection hidden="1"/>
    </xf>
    <xf numFmtId="4" fontId="69" fillId="11" borderId="67" xfId="0" applyNumberFormat="1" applyFont="1" applyFill="1" applyBorder="1" applyAlignment="1" applyProtection="1">
      <alignment vertical="center" wrapText="1"/>
      <protection hidden="1"/>
    </xf>
    <xf numFmtId="4" fontId="69" fillId="11" borderId="6" xfId="0" applyNumberFormat="1" applyFont="1" applyFill="1" applyBorder="1" applyAlignment="1" applyProtection="1">
      <alignment vertical="center" wrapText="1"/>
      <protection hidden="1"/>
    </xf>
    <xf numFmtId="0" fontId="69" fillId="0" borderId="14" xfId="0" applyFont="1" applyBorder="1"/>
    <xf numFmtId="0" fontId="55" fillId="0" borderId="14" xfId="0" applyFont="1" applyBorder="1" applyAlignment="1">
      <alignment horizontal="center" vertical="center" wrapText="1"/>
    </xf>
    <xf numFmtId="4" fontId="69" fillId="0" borderId="14" xfId="0" applyNumberFormat="1" applyFont="1" applyBorder="1" applyAlignment="1" applyProtection="1">
      <alignment horizontal="center" vertical="center" wrapText="1"/>
      <protection hidden="1"/>
    </xf>
    <xf numFmtId="4" fontId="55" fillId="0" borderId="0" xfId="0" applyNumberFormat="1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0" fontId="69" fillId="3" borderId="1" xfId="0" applyFont="1" applyFill="1" applyBorder="1" applyAlignment="1">
      <alignment vertical="center"/>
    </xf>
    <xf numFmtId="0" fontId="55" fillId="3" borderId="13" xfId="0" applyFont="1" applyFill="1" applyBorder="1" applyAlignment="1">
      <alignment vertical="center" wrapText="1"/>
    </xf>
    <xf numFmtId="4" fontId="69" fillId="3" borderId="11" xfId="0" applyNumberFormat="1" applyFont="1" applyFill="1" applyBorder="1" applyAlignment="1" applyProtection="1">
      <alignment vertical="center" wrapText="1"/>
      <protection hidden="1"/>
    </xf>
    <xf numFmtId="4" fontId="69" fillId="3" borderId="9" xfId="0" applyNumberFormat="1" applyFont="1" applyFill="1" applyBorder="1" applyAlignment="1" applyProtection="1">
      <alignment vertical="center" wrapText="1"/>
      <protection hidden="1"/>
    </xf>
    <xf numFmtId="4" fontId="69" fillId="3" borderId="60" xfId="0" applyNumberFormat="1" applyFont="1" applyFill="1" applyBorder="1" applyAlignment="1">
      <alignment vertical="center" wrapText="1"/>
    </xf>
    <xf numFmtId="4" fontId="69" fillId="3" borderId="2" xfId="0" applyNumberFormat="1" applyFont="1" applyFill="1" applyBorder="1" applyAlignment="1">
      <alignment vertical="center" wrapText="1"/>
    </xf>
    <xf numFmtId="0" fontId="69" fillId="4" borderId="1" xfId="0" applyFont="1" applyFill="1" applyBorder="1" applyAlignment="1">
      <alignment vertical="center"/>
    </xf>
    <xf numFmtId="0" fontId="55" fillId="4" borderId="13" xfId="0" applyFont="1" applyFill="1" applyBorder="1" applyAlignment="1">
      <alignment vertical="center" wrapText="1"/>
    </xf>
    <xf numFmtId="4" fontId="69" fillId="4" borderId="13" xfId="0" applyNumberFormat="1" applyFont="1" applyFill="1" applyBorder="1" applyAlignment="1" applyProtection="1">
      <alignment vertical="center" wrapText="1"/>
      <protection hidden="1"/>
    </xf>
    <xf numFmtId="4" fontId="69" fillId="4" borderId="15" xfId="0" applyNumberFormat="1" applyFont="1" applyFill="1" applyBorder="1" applyAlignment="1" applyProtection="1">
      <alignment vertical="center" wrapText="1"/>
      <protection hidden="1"/>
    </xf>
    <xf numFmtId="4" fontId="69" fillId="4" borderId="61" xfId="0" applyNumberFormat="1" applyFont="1" applyFill="1" applyBorder="1" applyAlignment="1">
      <alignment vertical="center" wrapText="1"/>
    </xf>
    <xf numFmtId="4" fontId="69" fillId="4" borderId="1" xfId="0" applyNumberFormat="1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 wrapText="1"/>
    </xf>
    <xf numFmtId="4" fontId="69" fillId="0" borderId="13" xfId="0" applyNumberFormat="1" applyFont="1" applyFill="1" applyBorder="1" applyAlignment="1" applyProtection="1">
      <alignment vertical="center" wrapText="1"/>
      <protection hidden="1"/>
    </xf>
    <xf numFmtId="4" fontId="69" fillId="0" borderId="15" xfId="0" applyNumberFormat="1" applyFont="1" applyFill="1" applyBorder="1" applyAlignment="1" applyProtection="1">
      <alignment vertical="center" wrapText="1"/>
      <protection hidden="1"/>
    </xf>
    <xf numFmtId="4" fontId="69" fillId="0" borderId="61" xfId="0" applyNumberFormat="1" applyFont="1" applyFill="1" applyBorder="1" applyAlignment="1">
      <alignment vertical="center" wrapText="1"/>
    </xf>
    <xf numFmtId="4" fontId="69" fillId="0" borderId="1" xfId="0" applyNumberFormat="1" applyFont="1" applyFill="1" applyBorder="1" applyAlignment="1" applyProtection="1">
      <alignment vertical="center" wrapText="1"/>
      <protection hidden="1"/>
    </xf>
    <xf numFmtId="4" fontId="69" fillId="0" borderId="1" xfId="0" applyNumberFormat="1" applyFont="1" applyFill="1" applyBorder="1" applyAlignment="1">
      <alignment vertical="center" wrapText="1"/>
    </xf>
    <xf numFmtId="0" fontId="69" fillId="0" borderId="13" xfId="0" applyFont="1" applyFill="1" applyBorder="1" applyAlignment="1">
      <alignment horizontal="left" vertical="center" wrapText="1" indent="2"/>
    </xf>
    <xf numFmtId="4" fontId="69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69" fillId="51" borderId="15" xfId="0" applyNumberFormat="1" applyFont="1" applyFill="1" applyBorder="1" applyAlignment="1" applyProtection="1">
      <alignment vertical="center" wrapText="1"/>
      <protection hidden="1"/>
    </xf>
    <xf numFmtId="0" fontId="69" fillId="19" borderId="1" xfId="0" applyFont="1" applyFill="1" applyBorder="1" applyAlignment="1" applyProtection="1">
      <alignment vertical="center"/>
      <protection hidden="1"/>
    </xf>
    <xf numFmtId="0" fontId="69" fillId="19" borderId="13" xfId="0" applyFont="1" applyFill="1" applyBorder="1" applyAlignment="1" applyProtection="1">
      <alignment vertical="center" wrapText="1"/>
      <protection hidden="1"/>
    </xf>
    <xf numFmtId="4" fontId="69" fillId="19" borderId="13" xfId="0" applyNumberFormat="1" applyFont="1" applyFill="1" applyBorder="1" applyAlignment="1" applyProtection="1">
      <alignment vertical="center" wrapText="1"/>
      <protection hidden="1"/>
    </xf>
    <xf numFmtId="4" fontId="69" fillId="19" borderId="15" xfId="0" applyNumberFormat="1" applyFont="1" applyFill="1" applyBorder="1" applyAlignment="1" applyProtection="1">
      <alignment vertical="center" wrapText="1"/>
      <protection hidden="1"/>
    </xf>
    <xf numFmtId="164" fontId="69" fillId="19" borderId="61" xfId="0" applyNumberFormat="1" applyFont="1" applyFill="1" applyBorder="1" applyAlignment="1" applyProtection="1">
      <alignment vertical="center" wrapText="1"/>
      <protection hidden="1"/>
    </xf>
    <xf numFmtId="164" fontId="69" fillId="19" borderId="13" xfId="0" applyNumberFormat="1" applyFont="1" applyFill="1" applyBorder="1" applyAlignment="1" applyProtection="1">
      <alignment vertical="center" wrapText="1"/>
      <protection hidden="1"/>
    </xf>
    <xf numFmtId="164" fontId="69" fillId="19" borderId="1" xfId="0" applyNumberFormat="1" applyFont="1" applyFill="1" applyBorder="1" applyAlignment="1" applyProtection="1">
      <alignment vertical="center" wrapText="1"/>
      <protection hidden="1"/>
    </xf>
    <xf numFmtId="4" fontId="69" fillId="0" borderId="61" xfId="0" quotePrefix="1" applyNumberFormat="1" applyFont="1" applyFill="1" applyBorder="1" applyAlignment="1">
      <alignment vertical="center" wrapText="1"/>
    </xf>
    <xf numFmtId="4" fontId="69" fillId="19" borderId="72" xfId="0" applyNumberFormat="1" applyFont="1" applyFill="1" applyBorder="1" applyAlignment="1" applyProtection="1">
      <alignment vertical="center" wrapText="1"/>
      <protection hidden="1"/>
    </xf>
    <xf numFmtId="4" fontId="69" fillId="19" borderId="6" xfId="0" applyNumberFormat="1" applyFont="1" applyFill="1" applyBorder="1" applyAlignment="1" applyProtection="1">
      <alignment vertical="center" wrapText="1"/>
      <protection hidden="1"/>
    </xf>
    <xf numFmtId="4" fontId="69" fillId="19" borderId="3" xfId="0" applyNumberFormat="1" applyFont="1" applyFill="1" applyBorder="1" applyAlignment="1" applyProtection="1">
      <alignment vertical="center" wrapText="1"/>
      <protection hidden="1"/>
    </xf>
    <xf numFmtId="0" fontId="69" fillId="0" borderId="14" xfId="0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9" fillId="0" borderId="182" xfId="0" applyNumberFormat="1" applyFont="1" applyFill="1" applyBorder="1" applyAlignment="1">
      <alignment vertical="center" wrapText="1"/>
    </xf>
    <xf numFmtId="0" fontId="69" fillId="5" borderId="1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4" fontId="69" fillId="0" borderId="14" xfId="0" applyNumberFormat="1" applyFont="1" applyFill="1" applyBorder="1" applyAlignment="1">
      <alignment vertical="center" wrapText="1"/>
    </xf>
    <xf numFmtId="4" fontId="69" fillId="0" borderId="0" xfId="0" applyNumberFormat="1" applyFont="1" applyFill="1" applyBorder="1" applyAlignment="1">
      <alignment vertical="center" wrapText="1"/>
    </xf>
    <xf numFmtId="0" fontId="69" fillId="6" borderId="1" xfId="0" applyFont="1" applyFill="1" applyBorder="1" applyAlignment="1">
      <alignment vertical="center"/>
    </xf>
    <xf numFmtId="0" fontId="55" fillId="6" borderId="13" xfId="0" applyFont="1" applyFill="1" applyBorder="1" applyAlignment="1">
      <alignment vertical="center" wrapText="1"/>
    </xf>
    <xf numFmtId="4" fontId="69" fillId="6" borderId="13" xfId="0" applyNumberFormat="1" applyFont="1" applyFill="1" applyBorder="1" applyAlignment="1">
      <alignment vertical="center" wrapText="1"/>
    </xf>
    <xf numFmtId="4" fontId="69" fillId="6" borderId="15" xfId="0" applyNumberFormat="1" applyFont="1" applyFill="1" applyBorder="1" applyAlignment="1">
      <alignment vertical="center" wrapText="1"/>
    </xf>
    <xf numFmtId="4" fontId="69" fillId="6" borderId="60" xfId="0" applyNumberFormat="1" applyFont="1" applyFill="1" applyBorder="1" applyAlignment="1">
      <alignment vertical="center" wrapText="1"/>
    </xf>
    <xf numFmtId="4" fontId="69" fillId="6" borderId="1" xfId="0" applyNumberFormat="1" applyFont="1" applyFill="1" applyBorder="1" applyAlignment="1">
      <alignment vertical="center" wrapText="1"/>
    </xf>
    <xf numFmtId="0" fontId="69" fillId="7" borderId="1" xfId="0" applyFont="1" applyFill="1" applyBorder="1" applyAlignment="1">
      <alignment vertical="center"/>
    </xf>
    <xf numFmtId="0" fontId="69" fillId="7" borderId="13" xfId="0" applyFont="1" applyFill="1" applyBorder="1" applyAlignment="1">
      <alignment horizontal="left" vertical="center" wrapText="1" indent="2"/>
    </xf>
    <xf numFmtId="4" fontId="69" fillId="7" borderId="13" xfId="0" applyNumberFormat="1" applyFont="1" applyFill="1" applyBorder="1" applyAlignment="1">
      <alignment horizontal="right" vertical="center" wrapText="1"/>
    </xf>
    <xf numFmtId="4" fontId="69" fillId="7" borderId="15" xfId="0" applyNumberFormat="1" applyFont="1" applyFill="1" applyBorder="1" applyAlignment="1">
      <alignment vertical="center" wrapText="1"/>
    </xf>
    <xf numFmtId="4" fontId="69" fillId="7" borderId="61" xfId="0" applyNumberFormat="1" applyFont="1" applyFill="1" applyBorder="1" applyAlignment="1">
      <alignment vertical="center" wrapText="1"/>
    </xf>
    <xf numFmtId="4" fontId="69" fillId="7" borderId="1" xfId="0" applyNumberFormat="1" applyFont="1" applyFill="1" applyBorder="1" applyAlignment="1">
      <alignment vertical="center" wrapText="1"/>
    </xf>
    <xf numFmtId="0" fontId="69" fillId="8" borderId="1" xfId="0" applyFont="1" applyFill="1" applyBorder="1" applyAlignment="1">
      <alignment vertical="center"/>
    </xf>
    <xf numFmtId="0" fontId="55" fillId="8" borderId="13" xfId="0" applyFont="1" applyFill="1" applyBorder="1" applyAlignment="1">
      <alignment vertical="center" wrapText="1"/>
    </xf>
    <xf numFmtId="4" fontId="69" fillId="8" borderId="13" xfId="0" applyNumberFormat="1" applyFont="1" applyFill="1" applyBorder="1" applyAlignment="1">
      <alignment vertical="center" wrapText="1"/>
    </xf>
    <xf numFmtId="4" fontId="69" fillId="8" borderId="15" xfId="0" applyNumberFormat="1" applyFont="1" applyFill="1" applyBorder="1" applyAlignment="1">
      <alignment vertical="center" wrapText="1"/>
    </xf>
    <xf numFmtId="4" fontId="69" fillId="8" borderId="61" xfId="0" applyNumberFormat="1" applyFont="1" applyFill="1" applyBorder="1" applyAlignment="1">
      <alignment vertical="center" wrapText="1"/>
    </xf>
    <xf numFmtId="4" fontId="69" fillId="8" borderId="1" xfId="0" applyNumberFormat="1" applyFont="1" applyFill="1" applyBorder="1" applyAlignment="1">
      <alignment vertical="center" wrapText="1"/>
    </xf>
    <xf numFmtId="4" fontId="69" fillId="0" borderId="13" xfId="0" applyNumberFormat="1" applyFont="1" applyFill="1" applyBorder="1" applyAlignment="1">
      <alignment vertical="center" wrapText="1"/>
    </xf>
    <xf numFmtId="4" fontId="69" fillId="0" borderId="15" xfId="0" applyNumberFormat="1" applyFont="1" applyFill="1" applyBorder="1" applyAlignment="1">
      <alignment vertical="center" wrapText="1"/>
    </xf>
    <xf numFmtId="4" fontId="69" fillId="51" borderId="15" xfId="0" applyNumberFormat="1" applyFont="1" applyFill="1" applyBorder="1" applyAlignment="1">
      <alignment vertical="center" wrapText="1"/>
    </xf>
    <xf numFmtId="4" fontId="69" fillId="0" borderId="67" xfId="0" applyNumberFormat="1" applyFont="1" applyFill="1" applyBorder="1" applyAlignment="1">
      <alignment vertical="center" wrapText="1"/>
    </xf>
    <xf numFmtId="0" fontId="69" fillId="9" borderId="1" xfId="0" applyFont="1" applyFill="1" applyBorder="1" applyAlignment="1">
      <alignment vertical="center"/>
    </xf>
    <xf numFmtId="0" fontId="55" fillId="9" borderId="13" xfId="0" applyFont="1" applyFill="1" applyBorder="1" applyAlignment="1">
      <alignment vertical="center" wrapText="1"/>
    </xf>
    <xf numFmtId="4" fontId="69" fillId="9" borderId="12" xfId="0" applyNumberFormat="1" applyFont="1" applyFill="1" applyBorder="1" applyAlignment="1">
      <alignment vertical="center" wrapText="1"/>
    </xf>
    <xf numFmtId="4" fontId="69" fillId="9" borderId="7" xfId="0" applyNumberFormat="1" applyFont="1" applyFill="1" applyBorder="1" applyAlignment="1">
      <alignment vertical="center" wrapText="1"/>
    </xf>
    <xf numFmtId="4" fontId="69" fillId="9" borderId="71" xfId="0" applyNumberFormat="1" applyFont="1" applyFill="1" applyBorder="1" applyAlignment="1">
      <alignment vertical="center" wrapText="1"/>
    </xf>
    <xf numFmtId="4" fontId="69" fillId="9" borderId="8" xfId="0" applyNumberFormat="1" applyFont="1" applyFill="1" applyBorder="1" applyAlignment="1">
      <alignment vertical="center" wrapText="1"/>
    </xf>
    <xf numFmtId="4" fontId="55" fillId="0" borderId="14" xfId="0" applyNumberFormat="1" applyFont="1" applyFill="1" applyBorder="1" applyAlignment="1">
      <alignment vertical="center" wrapText="1"/>
    </xf>
    <xf numFmtId="0" fontId="69" fillId="12" borderId="1" xfId="0" applyFont="1" applyFill="1" applyBorder="1" applyAlignment="1">
      <alignment vertical="center"/>
    </xf>
    <xf numFmtId="0" fontId="55" fillId="12" borderId="13" xfId="0" applyFont="1" applyFill="1" applyBorder="1" applyAlignment="1">
      <alignment vertical="center" wrapText="1"/>
    </xf>
    <xf numFmtId="4" fontId="69" fillId="12" borderId="1" xfId="0" applyNumberFormat="1" applyFont="1" applyFill="1" applyBorder="1" applyAlignment="1">
      <alignment vertical="center" wrapText="1"/>
    </xf>
    <xf numFmtId="4" fontId="69" fillId="12" borderId="15" xfId="0" applyNumberFormat="1" applyFont="1" applyFill="1" applyBorder="1" applyAlignment="1">
      <alignment vertical="center" wrapText="1"/>
    </xf>
    <xf numFmtId="4" fontId="69" fillId="12" borderId="60" xfId="0" applyNumberFormat="1" applyFont="1" applyFill="1" applyBorder="1" applyAlignment="1">
      <alignment vertical="center" wrapText="1"/>
    </xf>
    <xf numFmtId="4" fontId="69" fillId="12" borderId="13" xfId="0" applyNumberFormat="1" applyFont="1" applyFill="1" applyBorder="1" applyAlignment="1">
      <alignment vertical="center" wrapText="1"/>
    </xf>
    <xf numFmtId="4" fontId="69" fillId="51" borderId="13" xfId="0" applyNumberFormat="1" applyFont="1" applyFill="1" applyBorder="1" applyAlignment="1">
      <alignment vertical="center" wrapText="1"/>
    </xf>
    <xf numFmtId="4" fontId="69" fillId="0" borderId="173" xfId="0" applyNumberFormat="1" applyFont="1" applyFill="1" applyBorder="1" applyAlignment="1">
      <alignment vertical="center" wrapText="1"/>
    </xf>
    <xf numFmtId="4" fontId="69" fillId="0" borderId="4" xfId="0" applyNumberFormat="1" applyFont="1" applyFill="1" applyBorder="1" applyAlignment="1">
      <alignment vertical="center" wrapText="1"/>
    </xf>
    <xf numFmtId="4" fontId="69" fillId="0" borderId="6" xfId="0" applyNumberFormat="1" applyFont="1" applyFill="1" applyBorder="1" applyAlignment="1">
      <alignment vertical="center" wrapText="1"/>
    </xf>
    <xf numFmtId="4" fontId="69" fillId="0" borderId="3" xfId="0" applyNumberFormat="1" applyFont="1" applyFill="1" applyBorder="1" applyAlignment="1">
      <alignment vertical="center" wrapText="1"/>
    </xf>
    <xf numFmtId="0" fontId="69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 wrapText="1"/>
    </xf>
    <xf numFmtId="4" fontId="69" fillId="0" borderId="14" xfId="0" applyNumberFormat="1" applyFont="1" applyBorder="1" applyAlignment="1">
      <alignment vertical="center" wrapText="1"/>
    </xf>
    <xf numFmtId="4" fontId="69" fillId="0" borderId="0" xfId="0" applyNumberFormat="1" applyFont="1" applyBorder="1" applyAlignment="1">
      <alignment vertical="center" wrapText="1"/>
    </xf>
    <xf numFmtId="0" fontId="69" fillId="13" borderId="1" xfId="0" applyFont="1" applyFill="1" applyBorder="1" applyAlignment="1">
      <alignment vertical="center"/>
    </xf>
    <xf numFmtId="0" fontId="55" fillId="13" borderId="13" xfId="0" applyFont="1" applyFill="1" applyBorder="1" applyAlignment="1">
      <alignment vertical="center" wrapText="1"/>
    </xf>
    <xf numFmtId="4" fontId="55" fillId="13" borderId="11" xfId="0" applyNumberFormat="1" applyFont="1" applyFill="1" applyBorder="1" applyAlignment="1">
      <alignment vertical="center" wrapText="1"/>
    </xf>
    <xf numFmtId="4" fontId="69" fillId="13" borderId="11" xfId="0" applyNumberFormat="1" applyFont="1" applyFill="1" applyBorder="1" applyAlignment="1">
      <alignment vertical="center" wrapText="1"/>
    </xf>
    <xf numFmtId="4" fontId="69" fillId="13" borderId="9" xfId="0" applyNumberFormat="1" applyFont="1" applyFill="1" applyBorder="1" applyAlignment="1">
      <alignment vertical="center" wrapText="1"/>
    </xf>
    <xf numFmtId="4" fontId="69" fillId="13" borderId="60" xfId="0" applyNumberFormat="1" applyFont="1" applyFill="1" applyBorder="1" applyAlignment="1">
      <alignment vertical="center" wrapText="1"/>
    </xf>
    <xf numFmtId="4" fontId="69" fillId="13" borderId="2" xfId="0" applyNumberFormat="1" applyFont="1" applyFill="1" applyBorder="1" applyAlignment="1">
      <alignment vertical="center" wrapText="1"/>
    </xf>
    <xf numFmtId="4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14" borderId="1" xfId="0" applyFont="1" applyFill="1" applyBorder="1" applyAlignment="1">
      <alignment vertical="center"/>
    </xf>
    <xf numFmtId="0" fontId="55" fillId="14" borderId="13" xfId="0" applyFont="1" applyFill="1" applyBorder="1" applyAlignment="1">
      <alignment vertical="center" wrapText="1"/>
    </xf>
    <xf numFmtId="4" fontId="69" fillId="14" borderId="12" xfId="0" applyNumberFormat="1" applyFont="1" applyFill="1" applyBorder="1" applyAlignment="1">
      <alignment vertical="center" wrapText="1"/>
    </xf>
    <xf numFmtId="4" fontId="69" fillId="14" borderId="7" xfId="0" applyNumberFormat="1" applyFont="1" applyFill="1" applyBorder="1" applyAlignment="1">
      <alignment vertical="center" wrapText="1"/>
    </xf>
    <xf numFmtId="4" fontId="69" fillId="14" borderId="71" xfId="0" applyNumberFormat="1" applyFont="1" applyFill="1" applyBorder="1" applyAlignment="1">
      <alignment vertical="center" wrapText="1"/>
    </xf>
    <xf numFmtId="4" fontId="69" fillId="14" borderId="8" xfId="0" applyNumberFormat="1" applyFont="1" applyFill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4" fontId="55" fillId="0" borderId="14" xfId="0" applyNumberFormat="1" applyFont="1" applyBorder="1" applyAlignment="1">
      <alignment vertical="center" wrapText="1"/>
    </xf>
    <xf numFmtId="4" fontId="69" fillId="0" borderId="2" xfId="0" applyNumberFormat="1" applyFont="1" applyFill="1" applyBorder="1" applyAlignment="1">
      <alignment vertical="center" wrapText="1"/>
    </xf>
    <xf numFmtId="4" fontId="69" fillId="0" borderId="9" xfId="0" applyNumberFormat="1" applyFont="1" applyFill="1" applyBorder="1" applyAlignment="1">
      <alignment vertical="center" wrapText="1"/>
    </xf>
    <xf numFmtId="4" fontId="69" fillId="0" borderId="60" xfId="0" applyNumberFormat="1" applyFont="1" applyFill="1" applyBorder="1" applyAlignment="1">
      <alignment vertical="center" wrapText="1"/>
    </xf>
    <xf numFmtId="4" fontId="69" fillId="0" borderId="11" xfId="0" applyNumberFormat="1" applyFont="1" applyFill="1" applyBorder="1" applyAlignment="1">
      <alignment vertical="center" wrapText="1"/>
    </xf>
    <xf numFmtId="4" fontId="69" fillId="0" borderId="72" xfId="0" applyNumberFormat="1" applyFont="1" applyFill="1" applyBorder="1" applyAlignment="1">
      <alignment vertical="center" wrapText="1"/>
    </xf>
    <xf numFmtId="4" fontId="69" fillId="0" borderId="61" xfId="0" applyNumberFormat="1" applyFont="1" applyBorder="1" applyAlignment="1">
      <alignment vertical="center" wrapText="1"/>
    </xf>
    <xf numFmtId="0" fontId="69" fillId="17" borderId="1" xfId="0" applyFont="1" applyFill="1" applyBorder="1" applyAlignment="1">
      <alignment vertical="center"/>
    </xf>
    <xf numFmtId="0" fontId="55" fillId="17" borderId="13" xfId="0" applyFont="1" applyFill="1" applyBorder="1" applyAlignment="1">
      <alignment vertical="center" wrapText="1"/>
    </xf>
    <xf numFmtId="4" fontId="69" fillId="17" borderId="1" xfId="0" applyNumberFormat="1" applyFont="1" applyFill="1" applyBorder="1" applyAlignment="1">
      <alignment vertical="center" wrapText="1"/>
    </xf>
    <xf numFmtId="4" fontId="69" fillId="17" borderId="15" xfId="0" applyNumberFormat="1" applyFont="1" applyFill="1" applyBorder="1" applyAlignment="1">
      <alignment vertical="center" wrapText="1"/>
    </xf>
    <xf numFmtId="4" fontId="69" fillId="17" borderId="67" xfId="0" applyNumberFormat="1" applyFont="1" applyFill="1" applyBorder="1" applyAlignment="1">
      <alignment vertical="center" wrapText="1"/>
    </xf>
    <xf numFmtId="4" fontId="69" fillId="17" borderId="13" xfId="0" applyNumberFormat="1" applyFont="1" applyFill="1" applyBorder="1" applyAlignment="1">
      <alignment vertical="center" wrapText="1"/>
    </xf>
    <xf numFmtId="0" fontId="69" fillId="15" borderId="1" xfId="0" applyFont="1" applyFill="1" applyBorder="1" applyAlignment="1">
      <alignment vertical="center"/>
    </xf>
    <xf numFmtId="0" fontId="55" fillId="15" borderId="13" xfId="0" applyFont="1" applyFill="1" applyBorder="1" applyAlignment="1">
      <alignment vertical="center" wrapText="1"/>
    </xf>
    <xf numFmtId="4" fontId="69" fillId="15" borderId="13" xfId="0" applyNumberFormat="1" applyFont="1" applyFill="1" applyBorder="1" applyAlignment="1">
      <alignment vertical="center" wrapText="1"/>
    </xf>
    <xf numFmtId="4" fontId="69" fillId="15" borderId="15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4" fontId="69" fillId="0" borderId="73" xfId="0" applyNumberFormat="1" applyFont="1" applyFill="1" applyBorder="1" applyAlignment="1">
      <alignment vertical="center" wrapText="1"/>
    </xf>
    <xf numFmtId="0" fontId="69" fillId="0" borderId="60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69" fillId="0" borderId="74" xfId="0" applyNumberFormat="1" applyFont="1" applyFill="1" applyBorder="1" applyAlignment="1">
      <alignment vertical="center" wrapText="1"/>
    </xf>
    <xf numFmtId="0" fontId="69" fillId="0" borderId="75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69" fillId="0" borderId="2" xfId="0" applyFont="1" applyFill="1" applyBorder="1" applyAlignment="1">
      <alignment vertical="center" wrapText="1"/>
    </xf>
    <xf numFmtId="0" fontId="69" fillId="0" borderId="61" xfId="0" applyFont="1" applyFill="1" applyBorder="1" applyAlignment="1">
      <alignment vertical="center" wrapText="1"/>
    </xf>
    <xf numFmtId="0" fontId="69" fillId="0" borderId="67" xfId="0" applyFont="1" applyFill="1" applyBorder="1" applyAlignment="1">
      <alignment vertical="center" wrapText="1"/>
    </xf>
    <xf numFmtId="4" fontId="69" fillId="0" borderId="5" xfId="0" applyNumberFormat="1" applyFont="1" applyBorder="1" applyAlignment="1">
      <alignment vertical="center"/>
    </xf>
    <xf numFmtId="0" fontId="71" fillId="65" borderId="1" xfId="0" applyFont="1" applyFill="1" applyBorder="1" applyAlignment="1">
      <alignment vertical="center"/>
    </xf>
    <xf numFmtId="0" fontId="72" fillId="65" borderId="14" xfId="0" applyFont="1" applyFill="1" applyBorder="1" applyAlignment="1">
      <alignment vertical="center"/>
    </xf>
    <xf numFmtId="0" fontId="72" fillId="65" borderId="0" xfId="0" applyFont="1" applyFill="1" applyBorder="1" applyAlignment="1">
      <alignment vertical="center"/>
    </xf>
    <xf numFmtId="4" fontId="71" fillId="65" borderId="0" xfId="0" applyNumberFormat="1" applyFont="1" applyFill="1" applyAlignment="1">
      <alignment vertical="center"/>
    </xf>
    <xf numFmtId="0" fontId="71" fillId="65" borderId="0" xfId="0" applyFont="1" applyFill="1" applyAlignment="1">
      <alignment vertical="center"/>
    </xf>
    <xf numFmtId="0" fontId="72" fillId="65" borderId="13" xfId="0" applyFont="1" applyFill="1" applyBorder="1" applyAlignment="1">
      <alignment vertical="center" wrapText="1"/>
    </xf>
    <xf numFmtId="4" fontId="71" fillId="65" borderId="1" xfId="0" applyNumberFormat="1" applyFont="1" applyFill="1" applyBorder="1" applyAlignment="1">
      <alignment vertical="center" wrapText="1"/>
    </xf>
    <xf numFmtId="0" fontId="69" fillId="0" borderId="4" xfId="0" applyFont="1" applyBorder="1" applyAlignment="1">
      <alignment vertical="center"/>
    </xf>
    <xf numFmtId="0" fontId="69" fillId="0" borderId="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9" fillId="0" borderId="6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4" fontId="69" fillId="0" borderId="15" xfId="0" applyNumberFormat="1" applyFont="1" applyBorder="1" applyAlignment="1">
      <alignment horizontal="center" vertical="center" wrapText="1"/>
    </xf>
    <xf numFmtId="4" fontId="69" fillId="0" borderId="60" xfId="0" applyNumberFormat="1" applyFont="1" applyBorder="1" applyAlignment="1" applyProtection="1">
      <alignment horizontal="center" vertical="center" wrapText="1"/>
      <protection hidden="1"/>
    </xf>
    <xf numFmtId="0" fontId="69" fillId="0" borderId="13" xfId="0" applyFont="1" applyBorder="1" applyAlignment="1" applyProtection="1">
      <alignment horizontal="center" vertical="center" wrapText="1"/>
      <protection hidden="1"/>
    </xf>
    <xf numFmtId="0" fontId="69" fillId="0" borderId="1" xfId="0" applyFont="1" applyBorder="1" applyAlignment="1" applyProtection="1">
      <alignment horizontal="center" vertical="center" wrapText="1"/>
      <protection hidden="1"/>
    </xf>
    <xf numFmtId="4" fontId="69" fillId="0" borderId="1" xfId="0" applyNumberFormat="1" applyFont="1" applyBorder="1" applyAlignment="1" applyProtection="1">
      <alignment horizontal="center" vertical="center" wrapText="1"/>
      <protection hidden="1"/>
    </xf>
    <xf numFmtId="0" fontId="69" fillId="0" borderId="9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69" fillId="0" borderId="61" xfId="0" applyFont="1" applyBorder="1" applyAlignment="1" applyProtection="1">
      <alignment horizontal="center" vertical="center" wrapText="1"/>
      <protection hidden="1"/>
    </xf>
    <xf numFmtId="0" fontId="69" fillId="0" borderId="1" xfId="0" applyFont="1" applyBorder="1" applyAlignment="1">
      <alignment horizontal="center" vertical="center" wrapText="1"/>
    </xf>
    <xf numFmtId="0" fontId="69" fillId="0" borderId="8" xfId="0" applyFont="1" applyBorder="1" applyAlignment="1">
      <alignment vertical="center" wrapText="1"/>
    </xf>
    <xf numFmtId="0" fontId="69" fillId="0" borderId="67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55" fillId="0" borderId="10" xfId="0" applyFont="1" applyBorder="1" applyAlignment="1">
      <alignment vertical="center" wrapText="1"/>
    </xf>
    <xf numFmtId="4" fontId="69" fillId="0" borderId="10" xfId="0" applyNumberFormat="1" applyFont="1" applyBorder="1" applyAlignment="1">
      <alignment vertical="center" wrapText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65" fontId="69" fillId="0" borderId="2" xfId="0" applyNumberFormat="1" applyFont="1" applyBorder="1" applyAlignment="1">
      <alignment horizontal="center" vertical="center" wrapText="1"/>
    </xf>
    <xf numFmtId="165" fontId="69" fillId="0" borderId="9" xfId="0" applyNumberFormat="1" applyFont="1" applyBorder="1" applyAlignment="1">
      <alignment horizontal="center" vertical="center" wrapText="1"/>
    </xf>
    <xf numFmtId="165" fontId="69" fillId="0" borderId="60" xfId="0" applyNumberFormat="1" applyFont="1" applyBorder="1" applyAlignment="1" applyProtection="1">
      <alignment horizontal="center" vertical="center" wrapText="1"/>
      <protection hidden="1"/>
    </xf>
    <xf numFmtId="165" fontId="69" fillId="0" borderId="10" xfId="0" applyNumberFormat="1" applyFont="1" applyBorder="1" applyAlignment="1" applyProtection="1">
      <alignment horizontal="center" vertical="center" wrapText="1"/>
      <protection hidden="1"/>
    </xf>
    <xf numFmtId="165" fontId="69" fillId="0" borderId="76" xfId="0" applyNumberFormat="1" applyFont="1" applyFill="1" applyBorder="1" applyAlignment="1" applyProtection="1">
      <alignment horizontal="center" vertical="center" wrapText="1"/>
      <protection hidden="1"/>
    </xf>
    <xf numFmtId="165" fontId="69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168" fontId="69" fillId="0" borderId="1" xfId="0" applyNumberFormat="1" applyFont="1" applyBorder="1" applyAlignment="1">
      <alignment horizontal="center" vertical="center" wrapText="1"/>
    </xf>
    <xf numFmtId="168" fontId="69" fillId="0" borderId="15" xfId="0" applyNumberFormat="1" applyFont="1" applyBorder="1" applyAlignment="1">
      <alignment horizontal="center" vertical="center" wrapText="1"/>
    </xf>
    <xf numFmtId="168" fontId="69" fillId="0" borderId="61" xfId="0" applyNumberFormat="1" applyFont="1" applyBorder="1" applyAlignment="1" applyProtection="1">
      <alignment horizontal="center" vertical="center" wrapText="1"/>
      <protection hidden="1"/>
    </xf>
    <xf numFmtId="168" fontId="69" fillId="0" borderId="14" xfId="0" applyNumberFormat="1" applyFont="1" applyBorder="1" applyAlignment="1" applyProtection="1">
      <alignment horizontal="center" vertical="center" wrapText="1"/>
      <protection hidden="1"/>
    </xf>
    <xf numFmtId="168" fontId="69" fillId="0" borderId="78" xfId="0" applyNumberFormat="1" applyFont="1" applyFill="1" applyBorder="1" applyAlignment="1" applyProtection="1">
      <alignment horizontal="center" vertical="center" wrapText="1"/>
      <protection hidden="1"/>
    </xf>
    <xf numFmtId="168" fontId="6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6" xfId="0" applyFont="1" applyBorder="1" applyAlignment="1">
      <alignment horizontal="center" vertical="center" wrapText="1"/>
    </xf>
    <xf numFmtId="0" fontId="69" fillId="0" borderId="168" xfId="0" applyFont="1" applyBorder="1" applyAlignment="1">
      <alignment horizontal="center" vertical="center" wrapText="1"/>
    </xf>
    <xf numFmtId="165" fontId="69" fillId="0" borderId="1" xfId="0" applyNumberFormat="1" applyFont="1" applyBorder="1" applyAlignment="1">
      <alignment horizontal="center" vertical="center" wrapText="1"/>
    </xf>
    <xf numFmtId="165" fontId="69" fillId="0" borderId="15" xfId="0" applyNumberFormat="1" applyFont="1" applyBorder="1" applyAlignment="1">
      <alignment horizontal="center" vertical="center" wrapText="1"/>
    </xf>
    <xf numFmtId="165" fontId="69" fillId="0" borderId="67" xfId="0" applyNumberFormat="1" applyFont="1" applyBorder="1" applyAlignment="1" applyProtection="1">
      <alignment horizontal="center" vertical="center" wrapText="1"/>
      <protection hidden="1"/>
    </xf>
    <xf numFmtId="165" fontId="69" fillId="0" borderId="14" xfId="0" applyNumberFormat="1" applyFont="1" applyBorder="1" applyAlignment="1" applyProtection="1">
      <alignment horizontal="center" vertical="center" wrapText="1"/>
      <protection hidden="1"/>
    </xf>
    <xf numFmtId="165" fontId="69" fillId="0" borderId="79" xfId="0" applyNumberFormat="1" applyFont="1" applyFill="1" applyBorder="1" applyAlignment="1" applyProtection="1">
      <alignment horizontal="center" vertical="center" wrapText="1"/>
      <protection hidden="1"/>
    </xf>
    <xf numFmtId="165" fontId="69" fillId="0" borderId="8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0" fontId="11" fillId="0" borderId="121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122" xfId="0" applyNumberFormat="1" applyFont="1" applyFill="1" applyBorder="1" applyAlignment="1" applyProtection="1">
      <alignment horizontal="right" vertical="center" wrapText="1"/>
      <protection hidden="1"/>
    </xf>
    <xf numFmtId="4" fontId="69" fillId="51" borderId="67" xfId="0" applyNumberFormat="1" applyFont="1" applyFill="1" applyBorder="1" applyAlignment="1">
      <alignment vertical="center" wrapText="1"/>
    </xf>
    <xf numFmtId="49" fontId="28" fillId="73" borderId="23" xfId="0" applyNumberFormat="1" applyFont="1" applyFill="1" applyBorder="1" applyAlignment="1" applyProtection="1">
      <protection hidden="1"/>
    </xf>
    <xf numFmtId="4" fontId="51" fillId="5" borderId="0" xfId="0" applyNumberFormat="1" applyFont="1" applyFill="1" applyBorder="1" applyAlignment="1">
      <alignment vertical="center" wrapText="1"/>
    </xf>
    <xf numFmtId="0" fontId="55" fillId="5" borderId="6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4" fontId="69" fillId="5" borderId="1" xfId="0" applyNumberFormat="1" applyFont="1" applyFill="1" applyBorder="1" applyAlignment="1">
      <alignment vertical="center" wrapText="1"/>
    </xf>
    <xf numFmtId="0" fontId="55" fillId="5" borderId="3" xfId="0" applyFont="1" applyFill="1" applyBorder="1" applyAlignment="1">
      <alignment vertical="center"/>
    </xf>
    <xf numFmtId="4" fontId="55" fillId="5" borderId="12" xfId="0" applyNumberFormat="1" applyFont="1" applyFill="1" applyBorder="1" applyAlignment="1">
      <alignment vertical="center" wrapText="1"/>
    </xf>
    <xf numFmtId="4" fontId="55" fillId="5" borderId="7" xfId="0" applyNumberFormat="1" applyFont="1" applyFill="1" applyBorder="1" applyAlignment="1">
      <alignment vertical="center" wrapText="1"/>
    </xf>
    <xf numFmtId="4" fontId="55" fillId="5" borderId="190" xfId="0" applyNumberFormat="1" applyFont="1" applyFill="1" applyBorder="1" applyAlignment="1">
      <alignment vertical="center" wrapText="1"/>
    </xf>
    <xf numFmtId="4" fontId="55" fillId="5" borderId="8" xfId="0" applyNumberFormat="1" applyFont="1" applyFill="1" applyBorder="1" applyAlignment="1">
      <alignment vertical="center" wrapText="1"/>
    </xf>
    <xf numFmtId="0" fontId="51" fillId="5" borderId="1" xfId="0" applyFont="1" applyFill="1" applyBorder="1" applyAlignment="1">
      <alignment vertical="center" wrapText="1"/>
    </xf>
    <xf numFmtId="39" fontId="11" fillId="0" borderId="11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51" borderId="0" xfId="0" applyFont="1" applyFill="1" applyBorder="1" applyAlignment="1" applyProtection="1">
      <alignment horizontal="center" vertical="center" wrapText="1"/>
      <protection hidden="1"/>
    </xf>
    <xf numFmtId="0" fontId="10" fillId="51" borderId="8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3" fillId="20" borderId="7" xfId="5" applyNumberFormat="1" applyFont="1" applyFill="1" applyBorder="1" applyAlignment="1" applyProtection="1">
      <alignment horizontal="left" vertical="center" wrapText="1"/>
      <protection hidden="1"/>
    </xf>
    <xf numFmtId="39" fontId="11" fillId="20" borderId="24" xfId="5" applyNumberFormat="1" applyFont="1" applyFill="1" applyBorder="1" applyAlignment="1" applyProtection="1">
      <alignment horizontal="right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39" fontId="11" fillId="20" borderId="0" xfId="5" applyNumberFormat="1" applyFont="1" applyFill="1" applyBorder="1" applyAlignment="1" applyProtection="1">
      <alignment horizontal="left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4" fillId="51" borderId="0" xfId="0" applyFont="1" applyFill="1" applyBorder="1" applyAlignment="1">
      <alignment horizontal="center" vertical="center" wrapText="1" shrinkToFit="1"/>
    </xf>
    <xf numFmtId="0" fontId="14" fillId="51" borderId="0" xfId="0" applyFont="1" applyFill="1" applyBorder="1" applyAlignment="1">
      <alignment horizontal="center" vertical="center" wrapText="1"/>
    </xf>
    <xf numFmtId="0" fontId="68" fillId="0" borderId="0" xfId="0" applyFont="1"/>
    <xf numFmtId="0" fontId="75" fillId="0" borderId="0" xfId="0" applyFont="1"/>
    <xf numFmtId="0" fontId="7" fillId="0" borderId="0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8" fontId="76" fillId="0" borderId="0" xfId="0" applyNumberFormat="1" applyFont="1" applyBorder="1" applyAlignment="1">
      <alignment horizontal="right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/>
    <xf numFmtId="0" fontId="7" fillId="75" borderId="105" xfId="0" applyFont="1" applyFill="1" applyBorder="1" applyAlignment="1">
      <alignment horizontal="center" vertical="center"/>
    </xf>
    <xf numFmtId="0" fontId="7" fillId="75" borderId="106" xfId="0" applyFont="1" applyFill="1" applyBorder="1" applyAlignment="1">
      <alignment horizontal="center" vertical="center"/>
    </xf>
    <xf numFmtId="0" fontId="7" fillId="76" borderId="104" xfId="0" applyFont="1" applyFill="1" applyBorder="1" applyAlignment="1">
      <alignment horizontal="center" vertical="center"/>
    </xf>
    <xf numFmtId="0" fontId="7" fillId="76" borderId="105" xfId="0" applyFont="1" applyFill="1" applyBorder="1" applyAlignment="1">
      <alignment horizontal="center" vertical="center"/>
    </xf>
    <xf numFmtId="0" fontId="7" fillId="76" borderId="106" xfId="0" applyFont="1" applyFill="1" applyBorder="1" applyAlignment="1">
      <alignment horizontal="center" vertical="center"/>
    </xf>
    <xf numFmtId="0" fontId="7" fillId="77" borderId="101" xfId="0" applyFont="1" applyFill="1" applyBorder="1" applyAlignment="1">
      <alignment horizontal="center" vertical="center"/>
    </xf>
    <xf numFmtId="0" fontId="7" fillId="0" borderId="1" xfId="0" applyFont="1" applyBorder="1"/>
    <xf numFmtId="4" fontId="77" fillId="0" borderId="1" xfId="0" applyNumberFormat="1" applyFont="1" applyBorder="1" applyAlignment="1">
      <alignment horizontal="right" vertical="center"/>
    </xf>
    <xf numFmtId="4" fontId="77" fillId="78" borderId="102" xfId="0" applyNumberFormat="1" applyFont="1" applyFill="1" applyBorder="1" applyAlignment="1">
      <alignment horizontal="right" vertical="center"/>
    </xf>
    <xf numFmtId="4" fontId="77" fillId="0" borderId="0" xfId="0" applyNumberFormat="1" applyFont="1" applyBorder="1"/>
    <xf numFmtId="4" fontId="77" fillId="0" borderId="101" xfId="0" applyNumberFormat="1" applyFont="1" applyBorder="1" applyAlignment="1">
      <alignment horizontal="right" vertical="center"/>
    </xf>
    <xf numFmtId="4" fontId="78" fillId="0" borderId="102" xfId="0" applyNumberFormat="1" applyFont="1" applyBorder="1" applyAlignment="1">
      <alignment horizontal="right" vertical="center"/>
    </xf>
    <xf numFmtId="4" fontId="78" fillId="0" borderId="101" xfId="0" applyNumberFormat="1" applyFont="1" applyBorder="1" applyAlignment="1">
      <alignment horizontal="right" vertical="center"/>
    </xf>
    <xf numFmtId="4" fontId="77" fillId="0" borderId="1" xfId="0" applyNumberFormat="1" applyFont="1" applyBorder="1"/>
    <xf numFmtId="4" fontId="78" fillId="0" borderId="102" xfId="0" applyNumberFormat="1" applyFont="1" applyFill="1" applyBorder="1" applyAlignment="1">
      <alignment horizontal="right" vertical="center"/>
    </xf>
    <xf numFmtId="4" fontId="77" fillId="0" borderId="1" xfId="0" applyNumberFormat="1" applyFont="1" applyBorder="1" applyAlignment="1"/>
    <xf numFmtId="0" fontId="68" fillId="0" borderId="0" xfId="0" applyFont="1" applyAlignment="1"/>
    <xf numFmtId="0" fontId="7" fillId="79" borderId="1" xfId="0" applyFont="1" applyFill="1" applyBorder="1"/>
    <xf numFmtId="0" fontId="7" fillId="51" borderId="1" xfId="0" applyFont="1" applyFill="1" applyBorder="1"/>
    <xf numFmtId="0" fontId="1" fillId="76" borderId="88" xfId="0" applyFont="1" applyFill="1" applyBorder="1" applyAlignment="1">
      <alignment horizontal="center" vertical="center" wrapText="1"/>
    </xf>
    <xf numFmtId="4" fontId="77" fillId="0" borderId="133" xfId="0" applyNumberFormat="1" applyFont="1" applyBorder="1"/>
    <xf numFmtId="4" fontId="77" fillId="0" borderId="138" xfId="0" applyNumberFormat="1" applyFont="1" applyBorder="1"/>
    <xf numFmtId="0" fontId="7" fillId="75" borderId="105" xfId="0" applyFont="1" applyFill="1" applyBorder="1" applyAlignment="1">
      <alignment horizontal="center" vertical="center" wrapText="1"/>
    </xf>
    <xf numFmtId="49" fontId="29" fillId="80" borderId="101" xfId="0" applyNumberFormat="1" applyFont="1" applyFill="1" applyBorder="1" applyAlignment="1"/>
    <xf numFmtId="43" fontId="28" fillId="80" borderId="1" xfId="1" applyNumberFormat="1" applyFont="1" applyFill="1" applyBorder="1" applyAlignment="1">
      <alignment horizontal="right"/>
    </xf>
    <xf numFmtId="43" fontId="28" fillId="80" borderId="1" xfId="0" applyNumberFormat="1" applyFont="1" applyFill="1" applyBorder="1" applyAlignment="1">
      <alignment horizontal="right"/>
    </xf>
    <xf numFmtId="43" fontId="28" fillId="80" borderId="15" xfId="0" applyNumberFormat="1" applyFont="1" applyFill="1" applyBorder="1" applyAlignment="1">
      <alignment horizontal="right"/>
    </xf>
    <xf numFmtId="49" fontId="28" fillId="18" borderId="101" xfId="0" applyNumberFormat="1" applyFont="1" applyFill="1" applyBorder="1" applyAlignment="1"/>
    <xf numFmtId="43" fontId="28" fillId="18" borderId="15" xfId="1" applyNumberFormat="1" applyFont="1" applyFill="1" applyBorder="1" applyAlignment="1"/>
    <xf numFmtId="43" fontId="28" fillId="18" borderId="101" xfId="0" applyNumberFormat="1" applyFont="1" applyFill="1" applyBorder="1" applyAlignment="1" applyProtection="1">
      <protection hidden="1"/>
    </xf>
    <xf numFmtId="43" fontId="28" fillId="18" borderId="102" xfId="0" applyNumberFormat="1" applyFont="1" applyFill="1" applyBorder="1" applyAlignment="1" applyProtection="1">
      <protection hidden="1"/>
    </xf>
    <xf numFmtId="43" fontId="28" fillId="18" borderId="101" xfId="0" applyNumberFormat="1" applyFont="1" applyFill="1" applyBorder="1" applyAlignment="1">
      <alignment horizontal="right"/>
    </xf>
    <xf numFmtId="43" fontId="28" fillId="18" borderId="102" xfId="0" applyNumberFormat="1" applyFont="1" applyFill="1" applyBorder="1" applyAlignment="1">
      <alignment horizontal="right"/>
    </xf>
    <xf numFmtId="43" fontId="28" fillId="18" borderId="101" xfId="0" applyNumberFormat="1" applyFont="1" applyFill="1" applyBorder="1" applyAlignment="1"/>
    <xf numFmtId="43" fontId="28" fillId="18" borderId="102" xfId="0" applyNumberFormat="1" applyFont="1" applyFill="1" applyBorder="1" applyAlignment="1"/>
    <xf numFmtId="49" fontId="28" fillId="18" borderId="27" xfId="0" applyNumberFormat="1" applyFont="1" applyFill="1" applyBorder="1" applyAlignment="1" applyProtection="1"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4" fontId="55" fillId="4" borderId="13" xfId="0" applyNumberFormat="1" applyFont="1" applyFill="1" applyBorder="1" applyAlignment="1">
      <alignment vertical="center" wrapText="1"/>
    </xf>
    <xf numFmtId="4" fontId="55" fillId="3" borderId="11" xfId="0" applyNumberFormat="1" applyFont="1" applyFill="1" applyBorder="1" applyAlignment="1">
      <alignment vertical="center" wrapText="1"/>
    </xf>
    <xf numFmtId="4" fontId="80" fillId="81" borderId="13" xfId="0" applyNumberFormat="1" applyFont="1" applyFill="1" applyBorder="1" applyAlignment="1">
      <alignment vertical="center" wrapText="1"/>
    </xf>
    <xf numFmtId="4" fontId="68" fillId="66" borderId="5" xfId="0" applyNumberFormat="1" applyFont="1" applyFill="1" applyBorder="1" applyAlignment="1">
      <alignment vertical="center"/>
    </xf>
    <xf numFmtId="4" fontId="55" fillId="8" borderId="1" xfId="0" applyNumberFormat="1" applyFont="1" applyFill="1" applyBorder="1" applyAlignment="1">
      <alignment vertical="center" wrapText="1"/>
    </xf>
    <xf numFmtId="4" fontId="82" fillId="0" borderId="0" xfId="0" applyNumberFormat="1" applyFont="1" applyBorder="1" applyAlignment="1" applyProtection="1">
      <alignment horizontal="right"/>
      <protection hidden="1"/>
    </xf>
    <xf numFmtId="4" fontId="69" fillId="3" borderId="1" xfId="0" applyNumberFormat="1" applyFont="1" applyFill="1" applyBorder="1" applyAlignment="1">
      <alignment vertical="center" wrapText="1"/>
    </xf>
    <xf numFmtId="4" fontId="77" fillId="0" borderId="128" xfId="0" applyNumberFormat="1" applyFont="1" applyBorder="1" applyAlignment="1">
      <alignment horizontal="right"/>
    </xf>
    <xf numFmtId="4" fontId="77" fillId="0" borderId="133" xfId="0" applyNumberFormat="1" applyFont="1" applyBorder="1" applyAlignment="1">
      <alignment horizontal="right"/>
    </xf>
    <xf numFmtId="0" fontId="83" fillId="0" borderId="0" xfId="0" applyFont="1"/>
    <xf numFmtId="0" fontId="83" fillId="0" borderId="0" xfId="0" applyFont="1" applyAlignment="1">
      <alignment horizontal="justify"/>
    </xf>
    <xf numFmtId="0" fontId="10" fillId="20" borderId="0" xfId="0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61" fillId="64" borderId="39" xfId="0" applyFont="1" applyFill="1" applyBorder="1" applyAlignment="1" applyProtection="1">
      <alignment horizontal="center" vertical="center" wrapText="1"/>
      <protection hidden="1"/>
    </xf>
    <xf numFmtId="0" fontId="61" fillId="64" borderId="0" xfId="0" applyFont="1" applyFill="1" applyBorder="1" applyAlignment="1" applyProtection="1">
      <alignment horizontal="center" vertical="center" wrapText="1"/>
      <protection hidden="1"/>
    </xf>
    <xf numFmtId="0" fontId="61" fillId="64" borderId="8" xfId="0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11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10" fillId="64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Border="1"/>
    <xf numFmtId="3" fontId="0" fillId="0" borderId="0" xfId="0" applyNumberFormat="1"/>
    <xf numFmtId="4" fontId="11" fillId="82" borderId="0" xfId="0" applyNumberFormat="1" applyFont="1" applyFill="1" applyBorder="1" applyAlignment="1" applyProtection="1">
      <alignment horizontal="right"/>
      <protection hidden="1"/>
    </xf>
    <xf numFmtId="4" fontId="11" fillId="83" borderId="0" xfId="0" applyNumberFormat="1" applyFont="1" applyFill="1" applyBorder="1" applyAlignment="1" applyProtection="1">
      <alignment horizontal="right" vertical="center" wrapText="1"/>
      <protection hidden="1"/>
    </xf>
    <xf numFmtId="43" fontId="11" fillId="83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8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116" xfId="0" applyFont="1" applyFill="1" applyBorder="1" applyAlignment="1" applyProtection="1">
      <alignment horizontal="center" vertical="center" wrapText="1"/>
      <protection hidden="1"/>
    </xf>
    <xf numFmtId="0" fontId="11" fillId="20" borderId="117" xfId="0" applyFont="1" applyFill="1" applyBorder="1" applyAlignment="1" applyProtection="1">
      <alignment horizontal="right"/>
      <protection hidden="1"/>
    </xf>
    <xf numFmtId="0" fontId="10" fillId="0" borderId="116" xfId="0" applyFont="1" applyFill="1" applyBorder="1" applyAlignment="1" applyProtection="1">
      <alignment horizontal="center" vertical="center" wrapText="1"/>
      <protection hidden="1"/>
    </xf>
    <xf numFmtId="4" fontId="11" fillId="0" borderId="157" xfId="0" applyNumberFormat="1" applyFont="1" applyBorder="1" applyAlignment="1" applyProtection="1">
      <alignment horizontal="right" vertical="center" wrapText="1"/>
      <protection hidden="1"/>
    </xf>
    <xf numFmtId="4" fontId="11" fillId="0" borderId="1" xfId="0" applyNumberFormat="1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Protection="1">
      <protection hidden="1"/>
    </xf>
    <xf numFmtId="0" fontId="11" fillId="0" borderId="6" xfId="0" applyFont="1" applyBorder="1" applyAlignment="1" applyProtection="1">
      <alignment horizontal="right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Alignment="1" applyProtection="1">
      <alignment horizontal="right"/>
      <protection hidden="1"/>
    </xf>
    <xf numFmtId="0" fontId="11" fillId="0" borderId="9" xfId="0" applyFont="1" applyBorder="1" applyProtection="1">
      <protection hidden="1"/>
    </xf>
    <xf numFmtId="0" fontId="11" fillId="0" borderId="11" xfId="0" applyFont="1" applyBorder="1" applyAlignment="1" applyProtection="1">
      <alignment horizontal="right"/>
      <protection hidden="1"/>
    </xf>
    <xf numFmtId="0" fontId="55" fillId="73" borderId="8" xfId="0" applyFont="1" applyFill="1" applyBorder="1" applyAlignment="1">
      <alignment vertical="center"/>
    </xf>
    <xf numFmtId="0" fontId="55" fillId="73" borderId="0" xfId="0" applyFont="1" applyFill="1" applyBorder="1" applyAlignment="1">
      <alignment vertical="center"/>
    </xf>
    <xf numFmtId="4" fontId="69" fillId="73" borderId="0" xfId="0" applyNumberFormat="1" applyFont="1" applyFill="1" applyAlignment="1">
      <alignment vertical="center"/>
    </xf>
    <xf numFmtId="0" fontId="69" fillId="73" borderId="0" xfId="0" applyFont="1" applyFill="1" applyAlignment="1">
      <alignment vertical="center"/>
    </xf>
    <xf numFmtId="0" fontId="55" fillId="83" borderId="0" xfId="0" applyFont="1" applyFill="1" applyBorder="1" applyAlignment="1">
      <alignment vertical="center"/>
    </xf>
    <xf numFmtId="4" fontId="69" fillId="83" borderId="0" xfId="0" applyNumberFormat="1" applyFont="1" applyFill="1" applyAlignment="1">
      <alignment vertical="center"/>
    </xf>
    <xf numFmtId="0" fontId="69" fillId="83" borderId="0" xfId="0" applyFont="1" applyFill="1" applyAlignment="1" applyProtection="1">
      <alignment vertical="center"/>
      <protection hidden="1"/>
    </xf>
    <xf numFmtId="0" fontId="70" fillId="84" borderId="7" xfId="0" applyFont="1" applyFill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68" fillId="0" borderId="13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horizontal="left" vertical="center" wrapText="1" indent="2"/>
    </xf>
    <xf numFmtId="0" fontId="66" fillId="20" borderId="15" xfId="0" applyFont="1" applyFill="1" applyBorder="1" applyAlignment="1" applyProtection="1">
      <alignment vertical="center" wrapText="1"/>
      <protection hidden="1"/>
    </xf>
    <xf numFmtId="0" fontId="2" fillId="0" borderId="14" xfId="0" applyFont="1" applyBorder="1" applyAlignment="1">
      <alignment vertical="center"/>
    </xf>
    <xf numFmtId="0" fontId="2" fillId="0" borderId="181" xfId="0" applyFont="1" applyBorder="1" applyAlignment="1">
      <alignment vertical="center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66" fillId="26" borderId="57" xfId="0" applyFont="1" applyFill="1" applyBorder="1" applyAlignment="1" applyProtection="1">
      <alignment horizontal="center" vertical="center" wrapText="1"/>
      <protection hidden="1"/>
    </xf>
    <xf numFmtId="0" fontId="66" fillId="26" borderId="59" xfId="0" applyFont="1" applyFill="1" applyBorder="1" applyAlignment="1" applyProtection="1">
      <alignment horizontal="center" vertical="center" wrapText="1"/>
      <protection hidden="1"/>
    </xf>
    <xf numFmtId="0" fontId="66" fillId="26" borderId="58" xfId="0" applyFont="1" applyFill="1" applyBorder="1" applyAlignment="1" applyProtection="1">
      <alignment horizontal="center" vertical="center" wrapText="1"/>
      <protection hidden="1"/>
    </xf>
    <xf numFmtId="0" fontId="66" fillId="26" borderId="1" xfId="0" applyFont="1" applyFill="1" applyBorder="1" applyAlignment="1" applyProtection="1">
      <alignment horizontal="center" vertical="center" wrapText="1"/>
      <protection hidden="1"/>
    </xf>
    <xf numFmtId="0" fontId="17" fillId="26" borderId="7" xfId="0" applyFont="1" applyFill="1" applyBorder="1" applyAlignment="1" applyProtection="1">
      <alignment horizontal="center" vertical="center" wrapText="1"/>
      <protection hidden="1"/>
    </xf>
    <xf numFmtId="0" fontId="17" fillId="2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17" fillId="26" borderId="57" xfId="0" applyFont="1" applyFill="1" applyBorder="1" applyAlignment="1" applyProtection="1">
      <alignment horizontal="center" vertical="center" wrapText="1"/>
      <protection hidden="1"/>
    </xf>
    <xf numFmtId="0" fontId="17" fillId="26" borderId="59" xfId="0" applyFont="1" applyFill="1" applyBorder="1" applyAlignment="1" applyProtection="1">
      <alignment horizontal="center" vertical="center" wrapText="1"/>
      <protection hidden="1"/>
    </xf>
    <xf numFmtId="0" fontId="17" fillId="26" borderId="58" xfId="0" applyFont="1" applyFill="1" applyBorder="1" applyAlignment="1" applyProtection="1">
      <alignment horizontal="center" vertical="center" wrapText="1"/>
      <protection hidden="1"/>
    </xf>
    <xf numFmtId="0" fontId="17" fillId="26" borderId="1" xfId="0" applyFont="1" applyFill="1" applyBorder="1" applyAlignment="1" applyProtection="1">
      <alignment horizontal="center" vertical="center" wrapText="1"/>
      <protection hidden="1"/>
    </xf>
    <xf numFmtId="166" fontId="17" fillId="26" borderId="169" xfId="0" applyNumberFormat="1" applyFont="1" applyFill="1" applyBorder="1" applyAlignment="1" applyProtection="1">
      <alignment horizontal="center" vertical="center" wrapText="1"/>
      <protection hidden="1"/>
    </xf>
    <xf numFmtId="166" fontId="17" fillId="26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6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6" borderId="10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24" xfId="0" applyNumberFormat="1" applyFont="1" applyFill="1" applyBorder="1" applyAlignment="1" applyProtection="1">
      <alignment horizontal="right" vertical="center" wrapText="1"/>
      <protection hidden="1"/>
    </xf>
    <xf numFmtId="43" fontId="11" fillId="20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29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34" xfId="0" applyNumberFormat="1" applyFont="1" applyFill="1" applyBorder="1" applyAlignment="1" applyProtection="1">
      <alignment horizontal="right" vertical="center" wrapText="1"/>
      <protection hidden="1"/>
    </xf>
    <xf numFmtId="43" fontId="11" fillId="20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0" borderId="7" xfId="0" applyNumberFormat="1" applyFont="1" applyFill="1" applyBorder="1" applyAlignment="1" applyProtection="1">
      <alignment horizontal="left" vertical="center" wrapText="1"/>
      <protection hidden="1"/>
    </xf>
    <xf numFmtId="0" fontId="11" fillId="23" borderId="1" xfId="0" applyFont="1" applyFill="1" applyBorder="1" applyAlignment="1" applyProtection="1">
      <alignment horizontal="center" vertical="center" wrapText="1"/>
      <protection hidden="1"/>
    </xf>
    <xf numFmtId="43" fontId="11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1" xfId="0" applyFont="1" applyFill="1" applyBorder="1" applyAlignment="1" applyProtection="1">
      <alignment horizontal="center" vertical="center" wrapText="1"/>
      <protection hidden="1"/>
    </xf>
    <xf numFmtId="43" fontId="3" fillId="20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0" borderId="29" xfId="0" applyNumberFormat="1" applyFont="1" applyFill="1" applyBorder="1" applyAlignment="1" applyProtection="1">
      <alignment horizontal="center" vertical="center" wrapText="1"/>
      <protection hidden="1"/>
    </xf>
    <xf numFmtId="43" fontId="3" fillId="20" borderId="24" xfId="0" applyNumberFormat="1" applyFont="1" applyFill="1" applyBorder="1" applyAlignment="1" applyProtection="1">
      <alignment horizontal="right" vertical="center" wrapText="1"/>
      <protection hidden="1"/>
    </xf>
    <xf numFmtId="43" fontId="3" fillId="20" borderId="34" xfId="0" applyNumberFormat="1" applyFont="1" applyFill="1" applyBorder="1" applyAlignment="1" applyProtection="1">
      <alignment horizontal="right" vertical="center" wrapText="1"/>
      <protection hidden="1"/>
    </xf>
    <xf numFmtId="43" fontId="11" fillId="20" borderId="33" xfId="0" applyNumberFormat="1" applyFont="1" applyFill="1" applyBorder="1" applyAlignment="1" applyProtection="1">
      <alignment horizontal="center" vertical="center" wrapText="1"/>
      <protection hidden="1"/>
    </xf>
    <xf numFmtId="43" fontId="10" fillId="20" borderId="17" xfId="0" applyNumberFormat="1" applyFont="1" applyFill="1" applyBorder="1" applyAlignment="1" applyProtection="1">
      <alignment horizontal="center" vertical="center" wrapText="1"/>
      <protection hidden="1"/>
    </xf>
    <xf numFmtId="43" fontId="10" fillId="20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0" borderId="3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24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25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32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45" xfId="0" applyNumberFormat="1" applyFont="1" applyFill="1" applyBorder="1" applyAlignment="1" applyProtection="1">
      <alignment horizontal="center" vertical="center" wrapText="1"/>
      <protection hidden="1"/>
    </xf>
    <xf numFmtId="43" fontId="3" fillId="20" borderId="7" xfId="0" applyNumberFormat="1" applyFont="1" applyFill="1" applyBorder="1" applyAlignment="1" applyProtection="1">
      <alignment horizontal="left" vertical="center" wrapText="1"/>
      <protection hidden="1"/>
    </xf>
    <xf numFmtId="43" fontId="11" fillId="2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35" xfId="0" applyFont="1" applyFill="1" applyBorder="1" applyAlignment="1" applyProtection="1">
      <alignment horizontal="center" vertical="center" wrapText="1"/>
      <protection hidden="1"/>
    </xf>
    <xf numFmtId="0" fontId="10" fillId="20" borderId="37" xfId="0" applyFont="1" applyFill="1" applyBorder="1" applyAlignment="1" applyProtection="1">
      <alignment horizontal="center" vertical="center" wrapText="1"/>
      <protection hidden="1"/>
    </xf>
    <xf numFmtId="0" fontId="10" fillId="20" borderId="38" xfId="0" applyFont="1" applyFill="1" applyBorder="1" applyAlignment="1" applyProtection="1">
      <alignment horizontal="center" vertical="center" wrapText="1"/>
      <protection hidden="1"/>
    </xf>
    <xf numFmtId="0" fontId="10" fillId="20" borderId="41" xfId="0" applyFont="1" applyFill="1" applyBorder="1" applyAlignment="1" applyProtection="1">
      <alignment horizontal="center" vertical="center" wrapText="1"/>
      <protection hidden="1"/>
    </xf>
    <xf numFmtId="0" fontId="11" fillId="20" borderId="16" xfId="0" applyFont="1" applyFill="1" applyBorder="1" applyAlignment="1" applyProtection="1">
      <alignment horizontal="center" vertical="center"/>
      <protection hidden="1"/>
    </xf>
    <xf numFmtId="0" fontId="11" fillId="20" borderId="17" xfId="0" applyFont="1" applyFill="1" applyBorder="1" applyAlignment="1" applyProtection="1">
      <alignment horizontal="center" vertical="center"/>
      <protection hidden="1"/>
    </xf>
    <xf numFmtId="0" fontId="11" fillId="20" borderId="23" xfId="0" applyFont="1" applyFill="1" applyBorder="1" applyAlignment="1" applyProtection="1">
      <alignment horizontal="center" vertical="center"/>
      <protection hidden="1"/>
    </xf>
    <xf numFmtId="0" fontId="11" fillId="2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39" fontId="11" fillId="20" borderId="26" xfId="0" applyNumberFormat="1" applyFont="1" applyFill="1" applyBorder="1" applyAlignment="1" applyProtection="1">
      <alignment horizontal="right" vertical="center" wrapText="1"/>
      <protection hidden="1"/>
    </xf>
    <xf numFmtId="39" fontId="11" fillId="20" borderId="24" xfId="0" applyNumberFormat="1" applyFont="1" applyFill="1" applyBorder="1" applyAlignment="1" applyProtection="1">
      <alignment horizontal="right" vertical="center" wrapText="1"/>
      <protection hidden="1"/>
    </xf>
    <xf numFmtId="43" fontId="3" fillId="20" borderId="4" xfId="0" applyNumberFormat="1" applyFont="1" applyFill="1" applyBorder="1" applyAlignment="1" applyProtection="1">
      <alignment horizontal="left" vertical="center" wrapText="1"/>
      <protection hidden="1"/>
    </xf>
    <xf numFmtId="0" fontId="5" fillId="20" borderId="43" xfId="0" applyFont="1" applyFill="1" applyBorder="1" applyAlignment="1" applyProtection="1">
      <alignment horizontal="center" vertical="center" wrapText="1"/>
      <protection hidden="1"/>
    </xf>
    <xf numFmtId="0" fontId="5" fillId="20" borderId="21" xfId="0" applyFont="1" applyFill="1" applyBorder="1" applyAlignment="1" applyProtection="1">
      <alignment horizontal="center" vertical="center" wrapText="1"/>
      <protection hidden="1"/>
    </xf>
    <xf numFmtId="0" fontId="5" fillId="20" borderId="22" xfId="0" applyFont="1" applyFill="1" applyBorder="1" applyAlignment="1" applyProtection="1">
      <alignment horizontal="center" vertical="center" wrapText="1"/>
      <protection hidden="1"/>
    </xf>
    <xf numFmtId="0" fontId="5" fillId="20" borderId="39" xfId="0" applyFont="1" applyFill="1" applyBorder="1" applyAlignment="1" applyProtection="1">
      <alignment horizontal="center" vertical="center" wrapText="1"/>
      <protection hidden="1"/>
    </xf>
    <xf numFmtId="0" fontId="5" fillId="20" borderId="0" xfId="0" applyFont="1" applyFill="1" applyBorder="1" applyAlignment="1" applyProtection="1">
      <alignment horizontal="center" vertical="center" wrapText="1"/>
      <protection hidden="1"/>
    </xf>
    <xf numFmtId="0" fontId="5" fillId="20" borderId="24" xfId="0" applyFont="1" applyFill="1" applyBorder="1" applyAlignment="1" applyProtection="1">
      <alignment horizontal="center" vertical="center" wrapText="1"/>
      <protection hidden="1"/>
    </xf>
    <xf numFmtId="0" fontId="5" fillId="20" borderId="42" xfId="0" applyFont="1" applyFill="1" applyBorder="1" applyAlignment="1" applyProtection="1">
      <alignment horizontal="center" vertical="center" wrapText="1"/>
      <protection hidden="1"/>
    </xf>
    <xf numFmtId="0" fontId="5" fillId="20" borderId="30" xfId="0" applyFont="1" applyFill="1" applyBorder="1" applyAlignment="1" applyProtection="1">
      <alignment horizontal="center" vertical="center" wrapText="1"/>
      <protection hidden="1"/>
    </xf>
    <xf numFmtId="0" fontId="5" fillId="20" borderId="34" xfId="0" applyFont="1" applyFill="1" applyBorder="1" applyAlignment="1" applyProtection="1">
      <alignment horizontal="center" vertical="center" wrapText="1"/>
      <protection hidden="1"/>
    </xf>
    <xf numFmtId="43" fontId="10" fillId="25" borderId="19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8" xfId="0" applyNumberFormat="1" applyFont="1" applyFill="1" applyBorder="1" applyAlignment="1" applyProtection="1">
      <alignment horizontal="center" vertical="center"/>
      <protection hidden="1"/>
    </xf>
    <xf numFmtId="43" fontId="10" fillId="25" borderId="0" xfId="0" applyNumberFormat="1" applyFont="1" applyFill="1" applyBorder="1" applyAlignment="1" applyProtection="1">
      <alignment horizontal="center" vertical="center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3" xfId="0" applyFont="1" applyFill="1" applyBorder="1" applyAlignment="1" applyProtection="1">
      <alignment horizontal="center" vertical="center" wrapText="1"/>
      <protection hidden="1"/>
    </xf>
    <xf numFmtId="0" fontId="11" fillId="20" borderId="17" xfId="0" applyFont="1" applyFill="1" applyBorder="1" applyAlignment="1" applyProtection="1">
      <alignment horizontal="center" vertical="center" wrapText="1"/>
      <protection hidden="1"/>
    </xf>
    <xf numFmtId="0" fontId="10" fillId="20" borderId="39" xfId="0" applyFont="1" applyFill="1" applyBorder="1" applyAlignment="1" applyProtection="1">
      <alignment horizontal="center" vertical="center" wrapText="1" shrinkToFit="1"/>
      <protection hidden="1"/>
    </xf>
    <xf numFmtId="0" fontId="10" fillId="20" borderId="0" xfId="0" applyFont="1" applyFill="1" applyBorder="1" applyAlignment="1" applyProtection="1">
      <alignment horizontal="center" vertical="center" wrapText="1" shrinkToFit="1"/>
      <protection hidden="1"/>
    </xf>
    <xf numFmtId="0" fontId="10" fillId="20" borderId="8" xfId="0" applyFont="1" applyFill="1" applyBorder="1" applyAlignment="1" applyProtection="1">
      <alignment horizontal="center" vertical="center" wrapText="1" shrinkToFit="1"/>
      <protection hidden="1"/>
    </xf>
    <xf numFmtId="0" fontId="10" fillId="20" borderId="42" xfId="0" applyFont="1" applyFill="1" applyBorder="1" applyAlignment="1" applyProtection="1">
      <alignment horizontal="center" vertical="center" wrapText="1" shrinkToFit="1"/>
      <protection hidden="1"/>
    </xf>
    <xf numFmtId="0" fontId="10" fillId="20" borderId="30" xfId="0" applyFont="1" applyFill="1" applyBorder="1" applyAlignment="1" applyProtection="1">
      <alignment horizontal="center" vertical="center" wrapText="1" shrinkToFit="1"/>
      <protection hidden="1"/>
    </xf>
    <xf numFmtId="0" fontId="10" fillId="20" borderId="31" xfId="0" applyFont="1" applyFill="1" applyBorder="1" applyAlignment="1" applyProtection="1">
      <alignment horizontal="center" vertical="center" wrapText="1" shrinkToFit="1"/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2" xfId="0" applyFont="1" applyFill="1" applyBorder="1" applyAlignment="1" applyProtection="1">
      <alignment horizontal="center" vertical="center" wrapText="1"/>
      <protection hidden="1"/>
    </xf>
    <xf numFmtId="0" fontId="11" fillId="20" borderId="33" xfId="0" applyFont="1" applyFill="1" applyBorder="1" applyAlignment="1" applyProtection="1">
      <alignment horizontal="center" vertical="center" wrapText="1"/>
      <protection hidden="1"/>
    </xf>
    <xf numFmtId="43" fontId="10" fillId="24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4" borderId="46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23" xfId="0" applyFont="1" applyFill="1" applyBorder="1" applyAlignment="1" applyProtection="1">
      <alignment horizontal="center" vertical="center" wrapText="1"/>
      <protection hidden="1"/>
    </xf>
    <xf numFmtId="0" fontId="11" fillId="20" borderId="27" xfId="0" applyFont="1" applyFill="1" applyBorder="1" applyAlignment="1" applyProtection="1">
      <alignment horizontal="center" vertical="center" wrapText="1"/>
      <protection hidden="1"/>
    </xf>
    <xf numFmtId="0" fontId="11" fillId="20" borderId="3" xfId="0" applyFont="1" applyFill="1" applyBorder="1" applyAlignment="1" applyProtection="1">
      <alignment horizontal="center" vertical="center" wrapText="1"/>
      <protection hidden="1"/>
    </xf>
    <xf numFmtId="0" fontId="11" fillId="20" borderId="1" xfId="0" applyFont="1" applyFill="1" applyBorder="1" applyAlignment="1" applyProtection="1">
      <alignment horizontal="left" vertical="center" wrapText="1"/>
      <protection hidden="1"/>
    </xf>
    <xf numFmtId="0" fontId="11" fillId="20" borderId="3" xfId="0" applyFont="1" applyFill="1" applyBorder="1" applyAlignment="1" applyProtection="1">
      <alignment horizontal="left" vertical="center" wrapText="1"/>
      <protection hidden="1"/>
    </xf>
    <xf numFmtId="43" fontId="10" fillId="22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2" borderId="12" xfId="0" applyNumberFormat="1" applyFont="1" applyFill="1" applyBorder="1" applyAlignment="1" applyProtection="1">
      <alignment horizontal="center" vertical="center"/>
      <protection hidden="1"/>
    </xf>
    <xf numFmtId="0" fontId="10" fillId="20" borderId="5" xfId="0" applyFont="1" applyFill="1" applyBorder="1" applyAlignment="1" applyProtection="1">
      <alignment horizontal="center" vertical="center" wrapText="1"/>
      <protection hidden="1"/>
    </xf>
    <xf numFmtId="0" fontId="10" fillId="20" borderId="6" xfId="0" applyFont="1" applyFill="1" applyBorder="1" applyAlignment="1" applyProtection="1">
      <alignment horizontal="center" vertical="center" wrapText="1"/>
      <protection hidden="1"/>
    </xf>
    <xf numFmtId="0" fontId="10" fillId="20" borderId="39" xfId="0" applyFont="1" applyFill="1" applyBorder="1" applyAlignment="1" applyProtection="1">
      <alignment horizontal="center" vertical="center" wrapText="1"/>
      <protection hidden="1"/>
    </xf>
    <xf numFmtId="0" fontId="10" fillId="20" borderId="0" xfId="0" applyFont="1" applyFill="1" applyBorder="1" applyAlignment="1" applyProtection="1">
      <alignment horizontal="center" vertical="center" wrapText="1"/>
      <protection hidden="1"/>
    </xf>
    <xf numFmtId="0" fontId="10" fillId="20" borderId="8" xfId="0" applyFont="1" applyFill="1" applyBorder="1" applyAlignment="1" applyProtection="1">
      <alignment horizontal="center" vertical="center" wrapText="1"/>
      <protection hidden="1"/>
    </xf>
    <xf numFmtId="0" fontId="10" fillId="20" borderId="40" xfId="0" applyFont="1" applyFill="1" applyBorder="1" applyAlignment="1" applyProtection="1">
      <alignment horizontal="center" vertical="center" wrapText="1"/>
      <protection hidden="1"/>
    </xf>
    <xf numFmtId="0" fontId="10" fillId="20" borderId="10" xfId="0" applyFont="1" applyFill="1" applyBorder="1" applyAlignment="1" applyProtection="1">
      <alignment horizontal="center" vertical="center" wrapText="1"/>
      <protection hidden="1"/>
    </xf>
    <xf numFmtId="0" fontId="10" fillId="20" borderId="11" xfId="0" applyFont="1" applyFill="1" applyBorder="1" applyAlignment="1" applyProtection="1">
      <alignment horizontal="center" vertical="center" wrapText="1"/>
      <protection hidden="1"/>
    </xf>
    <xf numFmtId="0" fontId="11" fillId="20" borderId="17" xfId="0" applyFont="1" applyFill="1" applyBorder="1" applyAlignment="1" applyProtection="1">
      <alignment horizontal="left" vertical="center" wrapText="1"/>
      <protection hidden="1"/>
    </xf>
    <xf numFmtId="0" fontId="11" fillId="20" borderId="20" xfId="0" applyFont="1" applyFill="1" applyBorder="1" applyAlignment="1" applyProtection="1">
      <alignment horizontal="center" vertical="center" wrapText="1"/>
      <protection hidden="1"/>
    </xf>
    <xf numFmtId="0" fontId="11" fillId="20" borderId="12" xfId="0" applyFont="1" applyFill="1" applyBorder="1" applyAlignment="1" applyProtection="1">
      <alignment horizontal="center" vertical="center" wrapText="1"/>
      <protection hidden="1"/>
    </xf>
    <xf numFmtId="0" fontId="11" fillId="20" borderId="8" xfId="0" applyFont="1" applyFill="1" applyBorder="1" applyAlignment="1" applyProtection="1">
      <alignment horizontal="center" vertical="center" wrapText="1"/>
      <protection hidden="1"/>
    </xf>
    <xf numFmtId="0" fontId="11" fillId="20" borderId="32" xfId="0" applyFont="1" applyFill="1" applyBorder="1" applyAlignment="1" applyProtection="1">
      <alignment horizontal="center" vertical="center" wrapText="1"/>
      <protection hidden="1"/>
    </xf>
    <xf numFmtId="43" fontId="10" fillId="24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4" borderId="33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18" xfId="0" applyFont="1" applyFill="1" applyBorder="1" applyAlignment="1" applyProtection="1">
      <alignment horizontal="center" vertical="center" wrapText="1"/>
      <protection hidden="1"/>
    </xf>
    <xf numFmtId="0" fontId="11" fillId="20" borderId="21" xfId="0" applyFont="1" applyFill="1" applyBorder="1" applyAlignment="1" applyProtection="1">
      <alignment horizontal="center" vertical="center" wrapText="1"/>
      <protection hidden="1"/>
    </xf>
    <xf numFmtId="0" fontId="11" fillId="20" borderId="19" xfId="0" applyFont="1" applyFill="1" applyBorder="1" applyAlignment="1" applyProtection="1">
      <alignment horizontal="center" vertical="center" wrapText="1"/>
      <protection hidden="1"/>
    </xf>
    <xf numFmtId="0" fontId="11" fillId="20" borderId="7" xfId="0" applyFont="1" applyFill="1" applyBorder="1" applyAlignment="1" applyProtection="1">
      <alignment horizontal="center" vertical="center" wrapText="1"/>
      <protection hidden="1"/>
    </xf>
    <xf numFmtId="0" fontId="11" fillId="20" borderId="0" xfId="0" applyFont="1" applyFill="1" applyBorder="1" applyAlignment="1" applyProtection="1">
      <alignment horizontal="center" vertical="center" wrapText="1"/>
      <protection hidden="1"/>
    </xf>
    <xf numFmtId="0" fontId="11" fillId="20" borderId="9" xfId="0" applyFont="1" applyFill="1" applyBorder="1" applyAlignment="1" applyProtection="1">
      <alignment horizontal="center" vertical="center" wrapText="1"/>
      <protection hidden="1"/>
    </xf>
    <xf numFmtId="0" fontId="11" fillId="20" borderId="10" xfId="0" applyFont="1" applyFill="1" applyBorder="1" applyAlignment="1" applyProtection="1">
      <alignment horizontal="center" vertical="center" wrapText="1"/>
      <protection hidden="1"/>
    </xf>
    <xf numFmtId="0" fontId="11" fillId="20" borderId="11" xfId="0" applyFont="1" applyFill="1" applyBorder="1" applyAlignment="1" applyProtection="1">
      <alignment horizontal="center" vertical="center" wrapText="1"/>
      <protection hidden="1"/>
    </xf>
    <xf numFmtId="39" fontId="11" fillId="20" borderId="0" xfId="0" applyNumberFormat="1" applyFont="1" applyFill="1" applyBorder="1" applyAlignment="1" applyProtection="1">
      <alignment horizontal="left" vertical="center" wrapText="1"/>
      <protection hidden="1"/>
    </xf>
    <xf numFmtId="43" fontId="10" fillId="24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4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4" borderId="32" xfId="0" applyNumberFormat="1" applyFont="1" applyFill="1" applyBorder="1" applyAlignment="1" applyProtection="1">
      <alignment horizontal="center" vertical="center" wrapText="1"/>
      <protection hidden="1"/>
    </xf>
    <xf numFmtId="0" fontId="11" fillId="23" borderId="2" xfId="0" applyFont="1" applyFill="1" applyBorder="1" applyAlignment="1" applyProtection="1">
      <alignment horizontal="center" vertical="center" wrapText="1"/>
      <protection hidden="1"/>
    </xf>
    <xf numFmtId="39" fontId="11" fillId="20" borderId="30" xfId="0" applyNumberFormat="1" applyFont="1" applyFill="1" applyBorder="1" applyAlignment="1" applyProtection="1">
      <alignment horizontal="left" vertical="center" wrapText="1"/>
      <protection hidden="1"/>
    </xf>
    <xf numFmtId="39" fontId="11" fillId="20" borderId="34" xfId="0" applyNumberFormat="1" applyFont="1" applyFill="1" applyBorder="1" applyAlignment="1" applyProtection="1">
      <alignment horizontal="right" vertical="center" wrapText="1"/>
      <protection hidden="1"/>
    </xf>
    <xf numFmtId="39" fontId="11" fillId="20" borderId="5" xfId="0" applyNumberFormat="1" applyFont="1" applyFill="1" applyBorder="1" applyAlignment="1" applyProtection="1">
      <alignment horizontal="left" vertical="center" wrapText="1"/>
      <protection hidden="1"/>
    </xf>
    <xf numFmtId="39" fontId="10" fillId="20" borderId="21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0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20" borderId="29" xfId="0" applyNumberFormat="1" applyFont="1" applyFill="1" applyBorder="1" applyAlignment="1" applyProtection="1">
      <alignment horizontal="left" vertical="center" wrapText="1"/>
      <protection hidden="1"/>
    </xf>
    <xf numFmtId="0" fontId="11" fillId="22" borderId="3" xfId="0" applyFont="1" applyFill="1" applyBorder="1" applyAlignment="1" applyProtection="1">
      <alignment horizontal="center" vertical="center" wrapText="1"/>
      <protection hidden="1"/>
    </xf>
    <xf numFmtId="0" fontId="11" fillId="22" borderId="12" xfId="0" applyFont="1" applyFill="1" applyBorder="1" applyAlignment="1" applyProtection="1">
      <alignment horizontal="center" vertical="center" wrapText="1"/>
      <protection hidden="1"/>
    </xf>
    <xf numFmtId="0" fontId="11" fillId="22" borderId="32" xfId="0" applyFont="1" applyFill="1" applyBorder="1" applyAlignment="1" applyProtection="1">
      <alignment horizontal="center" vertical="center" wrapText="1"/>
      <protection hidden="1"/>
    </xf>
    <xf numFmtId="0" fontId="11" fillId="22" borderId="32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22" borderId="35" xfId="0" applyFont="1" applyFill="1" applyBorder="1" applyAlignment="1" applyProtection="1">
      <alignment horizontal="center" vertical="center" wrapText="1"/>
      <protection hidden="1"/>
    </xf>
    <xf numFmtId="0" fontId="10" fillId="22" borderId="37" xfId="0" applyFont="1" applyFill="1" applyBorder="1" applyAlignment="1" applyProtection="1">
      <alignment horizontal="center" vertical="center" wrapText="1"/>
      <protection hidden="1"/>
    </xf>
    <xf numFmtId="0" fontId="10" fillId="22" borderId="38" xfId="0" applyFont="1" applyFill="1" applyBorder="1" applyAlignment="1" applyProtection="1">
      <alignment horizontal="center" vertical="center" wrapText="1"/>
      <protection hidden="1"/>
    </xf>
    <xf numFmtId="0" fontId="10" fillId="22" borderId="41" xfId="0" applyFont="1" applyFill="1" applyBorder="1" applyAlignment="1" applyProtection="1">
      <alignment horizontal="center" vertical="center" wrapText="1"/>
      <protection hidden="1"/>
    </xf>
    <xf numFmtId="0" fontId="10" fillId="22" borderId="16" xfId="0" applyFont="1" applyFill="1" applyBorder="1" applyAlignment="1" applyProtection="1">
      <alignment horizontal="center" vertical="center" wrapText="1"/>
      <protection hidden="1"/>
    </xf>
    <xf numFmtId="0" fontId="10" fillId="22" borderId="17" xfId="0" applyFont="1" applyFill="1" applyBorder="1" applyAlignment="1" applyProtection="1">
      <alignment horizontal="center" vertical="center" wrapText="1"/>
      <protection hidden="1"/>
    </xf>
    <xf numFmtId="0" fontId="10" fillId="22" borderId="23" xfId="0" applyFont="1" applyFill="1" applyBorder="1" applyAlignment="1" applyProtection="1">
      <alignment horizontal="center" vertical="center" wrapText="1"/>
      <protection hidden="1"/>
    </xf>
    <xf numFmtId="0" fontId="10" fillId="22" borderId="1" xfId="0" applyFont="1" applyFill="1" applyBorder="1" applyAlignment="1" applyProtection="1">
      <alignment horizontal="center" vertical="center" wrapText="1"/>
      <protection hidden="1"/>
    </xf>
    <xf numFmtId="0" fontId="10" fillId="22" borderId="18" xfId="0" applyFont="1" applyFill="1" applyBorder="1" applyAlignment="1" applyProtection="1">
      <alignment horizontal="center" vertical="center" wrapText="1"/>
      <protection hidden="1"/>
    </xf>
    <xf numFmtId="0" fontId="10" fillId="22" borderId="19" xfId="0" applyFont="1" applyFill="1" applyBorder="1" applyAlignment="1" applyProtection="1">
      <alignment horizontal="center" vertical="center" wrapText="1"/>
      <protection hidden="1"/>
    </xf>
    <xf numFmtId="0" fontId="10" fillId="22" borderId="7" xfId="0" applyFont="1" applyFill="1" applyBorder="1" applyAlignment="1" applyProtection="1">
      <alignment horizontal="center" vertical="center" wrapText="1"/>
      <protection hidden="1"/>
    </xf>
    <xf numFmtId="0" fontId="10" fillId="22" borderId="8" xfId="0" applyFont="1" applyFill="1" applyBorder="1" applyAlignment="1" applyProtection="1">
      <alignment horizontal="center" vertical="center" wrapText="1"/>
      <protection hidden="1"/>
    </xf>
    <xf numFmtId="0" fontId="10" fillId="22" borderId="9" xfId="0" applyFont="1" applyFill="1" applyBorder="1" applyAlignment="1" applyProtection="1">
      <alignment horizontal="center" vertical="center" wrapText="1"/>
      <protection hidden="1"/>
    </xf>
    <xf numFmtId="0" fontId="10" fillId="22" borderId="11" xfId="0" applyFont="1" applyFill="1" applyBorder="1" applyAlignment="1" applyProtection="1">
      <alignment horizontal="center" vertical="center" wrapText="1"/>
      <protection hidden="1"/>
    </xf>
    <xf numFmtId="0" fontId="10" fillId="22" borderId="20" xfId="0" applyFont="1" applyFill="1" applyBorder="1" applyAlignment="1" applyProtection="1">
      <alignment horizontal="center" vertical="center" wrapText="1"/>
      <protection hidden="1"/>
    </xf>
    <xf numFmtId="0" fontId="10" fillId="22" borderId="12" xfId="0" applyFont="1" applyFill="1" applyBorder="1" applyAlignment="1" applyProtection="1">
      <alignment horizontal="center" vertical="center"/>
      <protection hidden="1"/>
    </xf>
    <xf numFmtId="0" fontId="10" fillId="22" borderId="21" xfId="0" applyFont="1" applyFill="1" applyBorder="1" applyAlignment="1" applyProtection="1">
      <alignment horizontal="center" vertical="center" wrapText="1"/>
      <protection hidden="1"/>
    </xf>
    <xf numFmtId="0" fontId="11" fillId="22" borderId="21" xfId="0" applyFont="1" applyFill="1" applyBorder="1" applyProtection="1">
      <protection hidden="1"/>
    </xf>
    <xf numFmtId="0" fontId="11" fillId="22" borderId="22" xfId="0" applyFont="1" applyFill="1" applyBorder="1" applyProtection="1">
      <protection hidden="1"/>
    </xf>
    <xf numFmtId="0" fontId="11" fillId="22" borderId="7" xfId="0" applyFont="1" applyFill="1" applyBorder="1" applyProtection="1">
      <protection hidden="1"/>
    </xf>
    <xf numFmtId="0" fontId="11" fillId="22" borderId="0" xfId="0" applyFont="1" applyFill="1" applyBorder="1" applyProtection="1">
      <protection hidden="1"/>
    </xf>
    <xf numFmtId="0" fontId="11" fillId="22" borderId="24" xfId="0" applyFont="1" applyFill="1" applyBorder="1" applyProtection="1">
      <protection hidden="1"/>
    </xf>
    <xf numFmtId="0" fontId="11" fillId="22" borderId="9" xfId="0" applyFont="1" applyFill="1" applyBorder="1" applyProtection="1">
      <protection hidden="1"/>
    </xf>
    <xf numFmtId="0" fontId="11" fillId="22" borderId="10" xfId="0" applyFont="1" applyFill="1" applyBorder="1" applyProtection="1">
      <protection hidden="1"/>
    </xf>
    <xf numFmtId="0" fontId="11" fillId="22" borderId="25" xfId="0" applyFont="1" applyFill="1" applyBorder="1" applyProtection="1">
      <protection hidden="1"/>
    </xf>
    <xf numFmtId="0" fontId="11" fillId="22" borderId="4" xfId="0" applyFont="1" applyFill="1" applyBorder="1" applyAlignment="1" applyProtection="1">
      <alignment horizontal="center" vertical="center" wrapText="1"/>
      <protection hidden="1"/>
    </xf>
    <xf numFmtId="0" fontId="11" fillId="22" borderId="7" xfId="0" applyFont="1" applyFill="1" applyBorder="1" applyAlignment="1" applyProtection="1">
      <alignment horizontal="center" vertical="center" wrapText="1"/>
      <protection hidden="1"/>
    </xf>
    <xf numFmtId="0" fontId="11" fillId="22" borderId="29" xfId="0" applyFont="1" applyFill="1" applyBorder="1" applyProtection="1">
      <protection hidden="1"/>
    </xf>
    <xf numFmtId="0" fontId="11" fillId="22" borderId="26" xfId="0" applyFont="1" applyFill="1" applyBorder="1" applyAlignment="1" applyProtection="1">
      <alignment horizontal="center" vertical="center" wrapText="1"/>
      <protection hidden="1"/>
    </xf>
    <xf numFmtId="0" fontId="11" fillId="22" borderId="24" xfId="0" applyFont="1" applyFill="1" applyBorder="1" applyAlignment="1" applyProtection="1">
      <alignment horizontal="center" vertical="center" wrapText="1"/>
      <protection hidden="1"/>
    </xf>
    <xf numFmtId="0" fontId="11" fillId="22" borderId="29" xfId="0" applyFont="1" applyFill="1" applyBorder="1" applyAlignment="1" applyProtection="1">
      <alignment horizontal="center" vertical="center" wrapText="1"/>
      <protection hidden="1"/>
    </xf>
    <xf numFmtId="0" fontId="11" fillId="22" borderId="34" xfId="0" applyFont="1" applyFill="1" applyBorder="1" applyAlignment="1" applyProtection="1">
      <alignment horizontal="center" vertical="center" wrapText="1"/>
      <protection hidden="1"/>
    </xf>
    <xf numFmtId="0" fontId="10" fillId="22" borderId="6" xfId="0" applyFont="1" applyFill="1" applyBorder="1" applyAlignment="1" applyProtection="1">
      <alignment horizontal="center" vertical="center" wrapText="1"/>
      <protection hidden="1"/>
    </xf>
    <xf numFmtId="0" fontId="10" fillId="22" borderId="40" xfId="0" applyFont="1" applyFill="1" applyBorder="1" applyAlignment="1" applyProtection="1">
      <alignment horizontal="center" vertical="center" wrapText="1"/>
      <protection hidden="1"/>
    </xf>
    <xf numFmtId="0" fontId="10" fillId="22" borderId="4" xfId="0" applyFont="1" applyFill="1" applyBorder="1" applyAlignment="1" applyProtection="1">
      <alignment horizontal="center" vertical="center" wrapText="1"/>
      <protection hidden="1"/>
    </xf>
    <xf numFmtId="0" fontId="10" fillId="22" borderId="5" xfId="0" applyFont="1" applyFill="1" applyBorder="1" applyAlignment="1" applyProtection="1">
      <alignment horizontal="center" vertical="center" wrapText="1"/>
      <protection hidden="1"/>
    </xf>
    <xf numFmtId="0" fontId="10" fillId="22" borderId="10" xfId="0" applyFont="1" applyFill="1" applyBorder="1" applyAlignment="1" applyProtection="1">
      <alignment horizontal="center" vertical="center" wrapText="1"/>
      <protection hidden="1"/>
    </xf>
    <xf numFmtId="0" fontId="11" fillId="22" borderId="12" xfId="0" applyFont="1" applyFill="1" applyBorder="1" applyProtection="1">
      <protection hidden="1"/>
    </xf>
    <xf numFmtId="0" fontId="10" fillId="22" borderId="39" xfId="0" applyFont="1" applyFill="1" applyBorder="1" applyAlignment="1" applyProtection="1">
      <alignment horizontal="center" vertical="center" wrapText="1"/>
      <protection hidden="1"/>
    </xf>
    <xf numFmtId="0" fontId="10" fillId="22" borderId="0" xfId="0" applyFont="1" applyFill="1" applyBorder="1" applyAlignment="1" applyProtection="1">
      <alignment horizontal="center" vertical="center" wrapText="1"/>
      <protection hidden="1"/>
    </xf>
    <xf numFmtId="0" fontId="10" fillId="22" borderId="12" xfId="0" applyFont="1" applyFill="1" applyBorder="1" applyAlignment="1" applyProtection="1">
      <alignment horizontal="center" vertical="center" wrapText="1"/>
      <protection hidden="1"/>
    </xf>
    <xf numFmtId="0" fontId="10" fillId="22" borderId="32" xfId="0" applyFont="1" applyFill="1" applyBorder="1" applyAlignment="1" applyProtection="1">
      <alignment horizontal="center" vertical="center" wrapText="1"/>
      <protection hidden="1"/>
    </xf>
    <xf numFmtId="0" fontId="10" fillId="22" borderId="33" xfId="0" applyFont="1" applyFill="1" applyBorder="1" applyAlignment="1" applyProtection="1">
      <alignment horizontal="center" vertical="center" wrapText="1"/>
      <protection hidden="1"/>
    </xf>
    <xf numFmtId="0" fontId="10" fillId="22" borderId="42" xfId="0" applyFont="1" applyFill="1" applyBorder="1" applyAlignment="1" applyProtection="1">
      <alignment horizontal="center" vertical="center" wrapText="1"/>
      <protection hidden="1"/>
    </xf>
    <xf numFmtId="0" fontId="10" fillId="22" borderId="30" xfId="0" applyFont="1" applyFill="1" applyBorder="1" applyAlignment="1" applyProtection="1">
      <alignment horizontal="center" vertical="center" wrapText="1"/>
      <protection hidden="1"/>
    </xf>
    <xf numFmtId="0" fontId="10" fillId="22" borderId="31" xfId="0" applyFont="1" applyFill="1" applyBorder="1" applyAlignment="1" applyProtection="1">
      <alignment horizontal="center" vertical="center" wrapText="1"/>
      <protection hidden="1"/>
    </xf>
    <xf numFmtId="43" fontId="15" fillId="20" borderId="3" xfId="0" applyNumberFormat="1" applyFont="1" applyFill="1" applyBorder="1" applyAlignment="1">
      <alignment horizontal="center" vertical="center" wrapText="1"/>
    </xf>
    <xf numFmtId="43" fontId="15" fillId="20" borderId="12" xfId="0" applyNumberFormat="1" applyFont="1" applyFill="1" applyBorder="1" applyAlignment="1">
      <alignment horizontal="center" vertical="center" wrapText="1"/>
    </xf>
    <xf numFmtId="43" fontId="15" fillId="20" borderId="32" xfId="0" applyNumberFormat="1" applyFont="1" applyFill="1" applyBorder="1" applyAlignment="1">
      <alignment horizontal="center" vertical="center" wrapText="1"/>
    </xf>
    <xf numFmtId="166" fontId="15" fillId="20" borderId="47" xfId="0" applyNumberFormat="1" applyFont="1" applyFill="1" applyBorder="1" applyAlignment="1">
      <alignment horizontal="center" vertical="center" wrapText="1"/>
    </xf>
    <xf numFmtId="166" fontId="15" fillId="20" borderId="48" xfId="0" applyNumberFormat="1" applyFont="1" applyFill="1" applyBorder="1" applyAlignment="1">
      <alignment horizontal="center" vertical="center" wrapText="1"/>
    </xf>
    <xf numFmtId="166" fontId="15" fillId="20" borderId="49" xfId="0" applyNumberFormat="1" applyFont="1" applyFill="1" applyBorder="1" applyAlignment="1">
      <alignment horizontal="center" vertical="center" wrapText="1"/>
    </xf>
    <xf numFmtId="43" fontId="14" fillId="24" borderId="1" xfId="0" applyNumberFormat="1" applyFont="1" applyFill="1" applyBorder="1" applyAlignment="1">
      <alignment horizontal="center" vertical="center" wrapText="1"/>
    </xf>
    <xf numFmtId="43" fontId="14" fillId="24" borderId="33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32" xfId="0" applyFont="1" applyFill="1" applyBorder="1" applyAlignment="1">
      <alignment horizontal="center" vertical="center" wrapText="1"/>
    </xf>
    <xf numFmtId="43" fontId="14" fillId="20" borderId="17" xfId="0" applyNumberFormat="1" applyFont="1" applyFill="1" applyBorder="1" applyAlignment="1">
      <alignment horizontal="center" vertical="center" wrapText="1"/>
    </xf>
    <xf numFmtId="43" fontId="14" fillId="20" borderId="1" xfId="0" applyNumberFormat="1" applyFont="1" applyFill="1" applyBorder="1" applyAlignment="1">
      <alignment horizontal="center" vertical="center" wrapText="1"/>
    </xf>
    <xf numFmtId="39" fontId="14" fillId="20" borderId="50" xfId="0" applyNumberFormat="1" applyFont="1" applyFill="1" applyBorder="1" applyAlignment="1">
      <alignment horizontal="center" vertical="center" wrapText="1"/>
    </xf>
    <xf numFmtId="39" fontId="14" fillId="20" borderId="51" xfId="0" applyNumberFormat="1" applyFont="1" applyFill="1" applyBorder="1" applyAlignment="1">
      <alignment horizontal="center" vertical="center" wrapText="1"/>
    </xf>
    <xf numFmtId="0" fontId="14" fillId="20" borderId="43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39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center" vertical="center" wrapText="1"/>
    </xf>
    <xf numFmtId="0" fontId="14" fillId="20" borderId="8" xfId="0" applyFont="1" applyFill="1" applyBorder="1" applyAlignment="1">
      <alignment horizontal="center" vertical="center" wrapText="1"/>
    </xf>
    <xf numFmtId="0" fontId="14" fillId="20" borderId="42" xfId="0" applyFont="1" applyFill="1" applyBorder="1" applyAlignment="1">
      <alignment horizontal="center" vertical="center" wrapText="1"/>
    </xf>
    <xf numFmtId="0" fontId="14" fillId="20" borderId="30" xfId="0" applyFont="1" applyFill="1" applyBorder="1" applyAlignment="1">
      <alignment horizontal="center" vertical="center" wrapText="1"/>
    </xf>
    <xf numFmtId="0" fontId="14" fillId="20" borderId="31" xfId="0" applyFont="1" applyFill="1" applyBorder="1" applyAlignment="1">
      <alignment horizontal="center" vertical="center" wrapText="1"/>
    </xf>
    <xf numFmtId="43" fontId="14" fillId="22" borderId="20" xfId="0" applyNumberFormat="1" applyFont="1" applyFill="1" applyBorder="1" applyAlignment="1">
      <alignment horizontal="center" vertical="center" wrapText="1"/>
    </xf>
    <xf numFmtId="43" fontId="14" fillId="22" borderId="12" xfId="0" applyNumberFormat="1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 wrapText="1"/>
    </xf>
    <xf numFmtId="0" fontId="14" fillId="23" borderId="1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3" borderId="3" xfId="0" applyFont="1" applyFill="1" applyBorder="1" applyAlignment="1">
      <alignment horizontal="center" vertical="center" wrapText="1"/>
    </xf>
    <xf numFmtId="0" fontId="15" fillId="23" borderId="12" xfId="0" applyFont="1" applyFill="1" applyBorder="1" applyAlignment="1">
      <alignment horizontal="center" vertical="center" wrapText="1"/>
    </xf>
    <xf numFmtId="0" fontId="15" fillId="23" borderId="32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23" xfId="0" applyFont="1" applyFill="1" applyBorder="1" applyAlignment="1">
      <alignment horizontal="center" vertical="center" wrapText="1"/>
    </xf>
    <xf numFmtId="0" fontId="14" fillId="20" borderId="38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14" fillId="20" borderId="28" xfId="0" applyFont="1" applyFill="1" applyBorder="1" applyAlignment="1">
      <alignment horizontal="center" vertical="center" wrapText="1"/>
    </xf>
    <xf numFmtId="0" fontId="15" fillId="20" borderId="36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 wrapText="1" shrinkToFit="1"/>
    </xf>
    <xf numFmtId="0" fontId="14" fillId="20" borderId="0" xfId="0" applyFont="1" applyFill="1" applyBorder="1" applyAlignment="1">
      <alignment horizontal="center" vertical="center" wrapText="1" shrinkToFit="1"/>
    </xf>
    <xf numFmtId="0" fontId="14" fillId="20" borderId="8" xfId="0" applyFont="1" applyFill="1" applyBorder="1" applyAlignment="1">
      <alignment horizontal="center" vertical="center" wrapText="1" shrinkToFit="1"/>
    </xf>
    <xf numFmtId="0" fontId="14" fillId="20" borderId="29" xfId="0" applyFont="1" applyFill="1" applyBorder="1" applyAlignment="1">
      <alignment horizontal="center" vertical="center" wrapText="1" shrinkToFit="1"/>
    </xf>
    <xf numFmtId="0" fontId="14" fillId="20" borderId="30" xfId="0" applyFont="1" applyFill="1" applyBorder="1" applyAlignment="1">
      <alignment horizontal="center" vertical="center" wrapText="1" shrinkToFit="1"/>
    </xf>
    <xf numFmtId="0" fontId="14" fillId="20" borderId="31" xfId="0" applyFont="1" applyFill="1" applyBorder="1" applyAlignment="1">
      <alignment horizontal="center" vertical="center" wrapText="1" shrinkToFit="1"/>
    </xf>
    <xf numFmtId="0" fontId="15" fillId="20" borderId="13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5" fillId="20" borderId="6" xfId="0" applyFont="1" applyFill="1" applyBorder="1" applyAlignment="1">
      <alignment horizontal="center" vertical="center" wrapText="1"/>
    </xf>
    <xf numFmtId="43" fontId="15" fillId="20" borderId="53" xfId="0" applyNumberFormat="1" applyFont="1" applyFill="1" applyBorder="1" applyAlignment="1">
      <alignment horizontal="center" vertical="center" wrapText="1"/>
    </xf>
    <xf numFmtId="43" fontId="15" fillId="20" borderId="52" xfId="0" applyNumberFormat="1" applyFont="1" applyFill="1" applyBorder="1" applyAlignment="1">
      <alignment horizontal="center" vertical="center" wrapText="1"/>
    </xf>
    <xf numFmtId="43" fontId="15" fillId="20" borderId="55" xfId="0" applyNumberFormat="1" applyFont="1" applyFill="1" applyBorder="1" applyAlignment="1">
      <alignment horizontal="center" vertical="center" wrapText="1"/>
    </xf>
    <xf numFmtId="166" fontId="15" fillId="20" borderId="56" xfId="0" applyNumberFormat="1" applyFont="1" applyFill="1" applyBorder="1" applyAlignment="1">
      <alignment horizontal="center" vertical="center" wrapText="1"/>
    </xf>
    <xf numFmtId="166" fontId="15" fillId="20" borderId="54" xfId="0" applyNumberFormat="1" applyFont="1" applyFill="1" applyBorder="1" applyAlignment="1">
      <alignment horizontal="center" vertical="center" wrapText="1"/>
    </xf>
    <xf numFmtId="0" fontId="15" fillId="25" borderId="4" xfId="0" applyFont="1" applyFill="1" applyBorder="1" applyAlignment="1">
      <alignment horizontal="center" vertical="center" wrapText="1"/>
    </xf>
    <xf numFmtId="0" fontId="15" fillId="25" borderId="7" xfId="0" applyFont="1" applyFill="1" applyBorder="1" applyAlignment="1">
      <alignment horizontal="center" vertical="center" wrapText="1"/>
    </xf>
    <xf numFmtId="0" fontId="15" fillId="25" borderId="29" xfId="0" applyFont="1" applyFill="1" applyBorder="1"/>
    <xf numFmtId="0" fontId="14" fillId="25" borderId="4" xfId="0" applyFont="1" applyFill="1" applyBorder="1" applyAlignment="1">
      <alignment horizontal="center" vertical="center" wrapText="1"/>
    </xf>
    <xf numFmtId="0" fontId="14" fillId="25" borderId="6" xfId="0" applyFont="1" applyFill="1" applyBorder="1" applyAlignment="1">
      <alignment horizontal="center" vertical="center" wrapText="1"/>
    </xf>
    <xf numFmtId="0" fontId="14" fillId="25" borderId="9" xfId="0" applyFont="1" applyFill="1" applyBorder="1" applyAlignment="1">
      <alignment horizontal="center" vertical="center" wrapText="1"/>
    </xf>
    <xf numFmtId="0" fontId="14" fillId="25" borderId="11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3" fillId="25" borderId="6" xfId="0" applyFont="1" applyFill="1" applyBorder="1" applyAlignment="1">
      <alignment horizontal="center" vertical="center" wrapText="1"/>
    </xf>
    <xf numFmtId="0" fontId="13" fillId="25" borderId="9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4" fillId="25" borderId="5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16" fillId="25" borderId="3" xfId="0" applyFont="1" applyFill="1" applyBorder="1" applyAlignment="1">
      <alignment horizontal="center" vertical="center" wrapText="1"/>
    </xf>
    <xf numFmtId="0" fontId="16" fillId="25" borderId="12" xfId="0" applyFont="1" applyFill="1" applyBorder="1"/>
    <xf numFmtId="0" fontId="16" fillId="25" borderId="32" xfId="0" applyFont="1" applyFill="1" applyBorder="1"/>
    <xf numFmtId="0" fontId="15" fillId="25" borderId="3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5" fillId="25" borderId="32" xfId="0" applyFont="1" applyFill="1" applyBorder="1" applyAlignment="1">
      <alignment horizontal="center" vertical="center" wrapText="1"/>
    </xf>
    <xf numFmtId="0" fontId="15" fillId="25" borderId="32" xfId="0" applyFont="1" applyFill="1" applyBorder="1"/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 wrapText="1"/>
    </xf>
    <xf numFmtId="0" fontId="13" fillId="25" borderId="16" xfId="0" applyFont="1" applyFill="1" applyBorder="1" applyAlignment="1">
      <alignment horizontal="center" vertical="center" wrapText="1"/>
    </xf>
    <xf numFmtId="0" fontId="13" fillId="25" borderId="23" xfId="0" applyFont="1" applyFill="1" applyBorder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 wrapText="1"/>
    </xf>
    <xf numFmtId="0" fontId="13" fillId="25" borderId="28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14" fillId="25" borderId="1" xfId="0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 wrapText="1"/>
    </xf>
    <xf numFmtId="0" fontId="14" fillId="25" borderId="19" xfId="0" applyFont="1" applyFill="1" applyBorder="1" applyAlignment="1">
      <alignment horizontal="center" vertical="center" wrapText="1"/>
    </xf>
    <xf numFmtId="0" fontId="14" fillId="25" borderId="7" xfId="0" applyFont="1" applyFill="1" applyBorder="1" applyAlignment="1">
      <alignment horizontal="center" vertical="center" wrapText="1"/>
    </xf>
    <xf numFmtId="0" fontId="14" fillId="25" borderId="8" xfId="0" applyFont="1" applyFill="1" applyBorder="1" applyAlignment="1">
      <alignment horizontal="center" vertical="center" wrapText="1"/>
    </xf>
    <xf numFmtId="0" fontId="14" fillId="25" borderId="20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 wrapText="1"/>
    </xf>
    <xf numFmtId="0" fontId="15" fillId="25" borderId="21" xfId="0" applyFont="1" applyFill="1" applyBorder="1"/>
    <xf numFmtId="0" fontId="15" fillId="25" borderId="22" xfId="0" applyFont="1" applyFill="1" applyBorder="1"/>
    <xf numFmtId="0" fontId="15" fillId="25" borderId="7" xfId="0" applyFont="1" applyFill="1" applyBorder="1"/>
    <xf numFmtId="0" fontId="15" fillId="25" borderId="0" xfId="0" applyFont="1" applyFill="1" applyBorder="1"/>
    <xf numFmtId="0" fontId="15" fillId="25" borderId="24" xfId="0" applyFont="1" applyFill="1" applyBorder="1"/>
    <xf numFmtId="0" fontId="15" fillId="25" borderId="9" xfId="0" applyFont="1" applyFill="1" applyBorder="1"/>
    <xf numFmtId="0" fontId="15" fillId="25" borderId="10" xfId="0" applyFont="1" applyFill="1" applyBorder="1"/>
    <xf numFmtId="0" fontId="15" fillId="25" borderId="25" xfId="0" applyFont="1" applyFill="1" applyBorder="1"/>
    <xf numFmtId="0" fontId="16" fillId="25" borderId="47" xfId="0" applyFont="1" applyFill="1" applyBorder="1" applyAlignment="1">
      <alignment horizontal="center" vertical="center" wrapText="1"/>
    </xf>
    <xf numFmtId="0" fontId="16" fillId="25" borderId="48" xfId="0" applyFont="1" applyFill="1" applyBorder="1" applyAlignment="1">
      <alignment horizontal="center" vertical="center" wrapText="1"/>
    </xf>
    <xf numFmtId="0" fontId="16" fillId="25" borderId="49" xfId="0" applyFont="1" applyFill="1" applyBorder="1"/>
    <xf numFmtId="0" fontId="14" fillId="25" borderId="0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center" vertical="center" wrapText="1"/>
    </xf>
    <xf numFmtId="0" fontId="14" fillId="25" borderId="32" xfId="0" applyFont="1" applyFill="1" applyBorder="1" applyAlignment="1">
      <alignment horizontal="center" vertical="center" wrapText="1"/>
    </xf>
    <xf numFmtId="0" fontId="14" fillId="25" borderId="33" xfId="0" applyFont="1" applyFill="1" applyBorder="1" applyAlignment="1">
      <alignment horizontal="center" vertical="center" wrapText="1"/>
    </xf>
    <xf numFmtId="0" fontId="14" fillId="25" borderId="29" xfId="0" applyFont="1" applyFill="1" applyBorder="1" applyAlignment="1">
      <alignment horizontal="center" vertical="center" wrapText="1"/>
    </xf>
    <xf numFmtId="0" fontId="14" fillId="25" borderId="30" xfId="0" applyFont="1" applyFill="1" applyBorder="1" applyAlignment="1">
      <alignment horizontal="center" vertical="center" wrapText="1"/>
    </xf>
    <xf numFmtId="0" fontId="14" fillId="25" borderId="31" xfId="0" applyFont="1" applyFill="1" applyBorder="1" applyAlignment="1">
      <alignment horizontal="center" vertical="center" wrapText="1"/>
    </xf>
    <xf numFmtId="0" fontId="7" fillId="52" borderId="3" xfId="2" applyFont="1" applyFill="1" applyBorder="1" applyAlignment="1">
      <alignment horizontal="center" vertical="center"/>
    </xf>
    <xf numFmtId="0" fontId="7" fillId="52" borderId="2" xfId="2" applyFont="1" applyFill="1" applyBorder="1" applyAlignment="1">
      <alignment horizontal="center" vertical="center"/>
    </xf>
    <xf numFmtId="0" fontId="7" fillId="52" borderId="4" xfId="2" applyFont="1" applyFill="1" applyBorder="1" applyAlignment="1">
      <alignment horizontal="center" vertical="center"/>
    </xf>
    <xf numFmtId="0" fontId="7" fillId="52" borderId="6" xfId="2" applyFont="1" applyFill="1" applyBorder="1" applyAlignment="1">
      <alignment horizontal="center" vertical="center"/>
    </xf>
    <xf numFmtId="0" fontId="7" fillId="52" borderId="9" xfId="2" applyFont="1" applyFill="1" applyBorder="1" applyAlignment="1">
      <alignment horizontal="center" vertical="center"/>
    </xf>
    <xf numFmtId="0" fontId="7" fillId="52" borderId="11" xfId="2" applyFont="1" applyFill="1" applyBorder="1" applyAlignment="1">
      <alignment horizontal="center" vertical="center"/>
    </xf>
    <xf numFmtId="0" fontId="7" fillId="52" borderId="15" xfId="2" applyFont="1" applyFill="1" applyBorder="1" applyAlignment="1">
      <alignment horizontal="center" vertical="center"/>
    </xf>
    <xf numFmtId="0" fontId="7" fillId="52" borderId="13" xfId="2" applyFont="1" applyFill="1" applyBorder="1" applyAlignment="1">
      <alignment horizontal="center" vertical="center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3" borderId="154" xfId="2" applyFont="1" applyFill="1" applyBorder="1" applyAlignment="1">
      <alignment horizontal="left" vertical="center" wrapText="1"/>
    </xf>
    <xf numFmtId="0" fontId="1" fillId="53" borderId="155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50" fillId="0" borderId="167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5" borderId="160" xfId="2" applyFont="1" applyFill="1" applyBorder="1" applyAlignment="1">
      <alignment horizontal="left" vertical="center"/>
    </xf>
    <xf numFmtId="0" fontId="1" fillId="55" borderId="161" xfId="2" applyFont="1" applyFill="1" applyBorder="1" applyAlignment="1">
      <alignment horizontal="left" vertical="center"/>
    </xf>
    <xf numFmtId="0" fontId="1" fillId="56" borderId="164" xfId="2" applyFont="1" applyFill="1" applyBorder="1" applyAlignment="1">
      <alignment horizontal="left" vertical="center"/>
    </xf>
    <xf numFmtId="0" fontId="1" fillId="56" borderId="165" xfId="2" applyFont="1" applyFill="1" applyBorder="1" applyAlignment="1">
      <alignment horizontal="left" vertical="center"/>
    </xf>
    <xf numFmtId="0" fontId="2" fillId="57" borderId="0" xfId="2" applyFont="1" applyFill="1" applyBorder="1" applyAlignment="1">
      <alignment horizontal="left" vertical="center" wrapText="1"/>
    </xf>
    <xf numFmtId="14" fontId="37" fillId="0" borderId="166" xfId="2" applyNumberFormat="1" applyFont="1" applyBorder="1" applyAlignment="1">
      <alignment horizontal="center"/>
    </xf>
    <xf numFmtId="0" fontId="37" fillId="0" borderId="166" xfId="2" applyFont="1" applyBorder="1" applyAlignment="1">
      <alignment horizontal="center"/>
    </xf>
    <xf numFmtId="0" fontId="1" fillId="54" borderId="158" xfId="2" applyFont="1" applyFill="1" applyBorder="1" applyAlignment="1">
      <alignment horizontal="left" vertical="center" wrapText="1"/>
    </xf>
    <xf numFmtId="0" fontId="1" fillId="54" borderId="155" xfId="2" applyFont="1" applyFill="1" applyBorder="1" applyAlignment="1">
      <alignment horizontal="left" vertical="center" wrapText="1"/>
    </xf>
    <xf numFmtId="0" fontId="79" fillId="79" borderId="14" xfId="0" applyFont="1" applyFill="1" applyBorder="1" applyAlignment="1">
      <alignment horizontal="center" vertical="center"/>
    </xf>
    <xf numFmtId="0" fontId="7" fillId="79" borderId="14" xfId="0" applyFont="1" applyFill="1" applyBorder="1" applyAlignment="1">
      <alignment horizontal="center" vertical="center"/>
    </xf>
    <xf numFmtId="0" fontId="7" fillId="79" borderId="101" xfId="0" applyFont="1" applyFill="1" applyBorder="1" applyAlignment="1">
      <alignment horizontal="center" vertical="center"/>
    </xf>
    <xf numFmtId="0" fontId="7" fillId="79" borderId="1" xfId="0" applyFont="1" applyFill="1" applyBorder="1" applyAlignment="1">
      <alignment horizontal="center" vertical="center"/>
    </xf>
    <xf numFmtId="0" fontId="7" fillId="79" borderId="102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9" fillId="51" borderId="14" xfId="0" applyFont="1" applyFill="1" applyBorder="1" applyAlignment="1">
      <alignment horizontal="center" vertical="center"/>
    </xf>
    <xf numFmtId="0" fontId="7" fillId="51" borderId="14" xfId="0" applyFont="1" applyFill="1" applyBorder="1" applyAlignment="1">
      <alignment horizontal="center" vertical="center"/>
    </xf>
    <xf numFmtId="0" fontId="7" fillId="51" borderId="101" xfId="0" applyFont="1" applyFill="1" applyBorder="1" applyAlignment="1">
      <alignment horizontal="center" vertical="center"/>
    </xf>
    <xf numFmtId="0" fontId="7" fillId="51" borderId="1" xfId="0" applyFont="1" applyFill="1" applyBorder="1" applyAlignment="1">
      <alignment horizontal="center" vertical="center"/>
    </xf>
    <xf numFmtId="0" fontId="7" fillId="51" borderId="102" xfId="0" applyFont="1" applyFill="1" applyBorder="1" applyAlignment="1">
      <alignment horizontal="center" vertical="center"/>
    </xf>
    <xf numFmtId="165" fontId="7" fillId="51" borderId="1" xfId="0" applyNumberFormat="1" applyFont="1" applyFill="1" applyBorder="1" applyAlignment="1">
      <alignment horizontal="center" vertical="center"/>
    </xf>
    <xf numFmtId="165" fontId="7" fillId="79" borderId="101" xfId="0" applyNumberFormat="1" applyFont="1" applyFill="1" applyBorder="1" applyAlignment="1">
      <alignment horizontal="center" vertical="center"/>
    </xf>
    <xf numFmtId="165" fontId="7" fillId="79" borderId="1" xfId="0" applyNumberFormat="1" applyFont="1" applyFill="1" applyBorder="1" applyAlignment="1">
      <alignment horizontal="center" vertical="center"/>
    </xf>
    <xf numFmtId="165" fontId="7" fillId="79" borderId="102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right" vertical="center" wrapText="1"/>
    </xf>
    <xf numFmtId="0" fontId="8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1" fillId="0" borderId="0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4" fontId="59" fillId="0" borderId="1" xfId="0" applyNumberFormat="1" applyFont="1" applyBorder="1" applyAlignment="1" applyProtection="1">
      <alignment horizontal="center" vertical="center" wrapText="1"/>
      <protection hidden="1"/>
    </xf>
    <xf numFmtId="0" fontId="60" fillId="0" borderId="4" xfId="0" applyFont="1" applyBorder="1" applyAlignment="1" applyProtection="1">
      <alignment horizontal="center" vertical="center" wrapText="1"/>
      <protection hidden="1"/>
    </xf>
    <xf numFmtId="0" fontId="60" fillId="0" borderId="5" xfId="0" applyFont="1" applyBorder="1" applyAlignment="1" applyProtection="1">
      <alignment horizontal="center" vertical="center" wrapText="1"/>
      <protection hidden="1"/>
    </xf>
    <xf numFmtId="0" fontId="60" fillId="0" borderId="6" xfId="0" applyFont="1" applyBorder="1" applyAlignment="1" applyProtection="1">
      <alignment horizontal="center" vertical="center" wrapText="1"/>
      <protection hidden="1"/>
    </xf>
    <xf numFmtId="0" fontId="60" fillId="0" borderId="7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60" fillId="0" borderId="8" xfId="0" applyFont="1" applyBorder="1" applyAlignment="1" applyProtection="1">
      <alignment horizontal="center" vertical="center" wrapText="1"/>
      <protection hidden="1"/>
    </xf>
    <xf numFmtId="0" fontId="60" fillId="0" borderId="9" xfId="0" applyFont="1" applyBorder="1" applyAlignment="1" applyProtection="1">
      <alignment horizontal="center" vertical="center" wrapText="1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horizontal="left" wrapText="1"/>
    </xf>
    <xf numFmtId="4" fontId="55" fillId="0" borderId="1" xfId="0" applyNumberFormat="1" applyFont="1" applyBorder="1" applyAlignment="1" applyProtection="1">
      <alignment horizontal="center" vertical="center" wrapText="1"/>
      <protection hidden="1"/>
    </xf>
    <xf numFmtId="0" fontId="73" fillId="84" borderId="8" xfId="0" applyFont="1" applyFill="1" applyBorder="1" applyAlignment="1">
      <alignment vertical="center"/>
    </xf>
    <xf numFmtId="0" fontId="0" fillId="84" borderId="0" xfId="0" applyFill="1" applyAlignment="1">
      <alignment vertical="center"/>
    </xf>
    <xf numFmtId="0" fontId="30" fillId="0" borderId="0" xfId="0" applyFont="1" applyAlignment="1">
      <alignment horizontal="left" wrapText="1"/>
    </xf>
    <xf numFmtId="43" fontId="26" fillId="0" borderId="105" xfId="1" applyNumberFormat="1" applyFont="1" applyFill="1" applyBorder="1" applyAlignment="1"/>
    <xf numFmtId="43" fontId="0" fillId="0" borderId="105" xfId="0" applyNumberFormat="1" applyBorder="1" applyAlignment="1"/>
    <xf numFmtId="3" fontId="32" fillId="45" borderId="114" xfId="0" applyNumberFormat="1" applyFont="1" applyFill="1" applyBorder="1" applyAlignment="1"/>
    <xf numFmtId="0" fontId="33" fillId="45" borderId="13" xfId="0" applyFont="1" applyFill="1" applyBorder="1"/>
    <xf numFmtId="0" fontId="26" fillId="45" borderId="111" xfId="0" applyFont="1" applyFill="1" applyBorder="1" applyAlignment="1"/>
    <xf numFmtId="0" fontId="26" fillId="45" borderId="108" xfId="0" applyFont="1" applyFill="1" applyBorder="1" applyAlignment="1"/>
    <xf numFmtId="3" fontId="31" fillId="45" borderId="103" xfId="0" applyNumberFormat="1" applyFont="1" applyFill="1" applyBorder="1" applyAlignment="1"/>
    <xf numFmtId="0" fontId="0" fillId="0" borderId="103" xfId="0" applyBorder="1" applyAlignment="1"/>
    <xf numFmtId="43" fontId="26" fillId="0" borderId="85" xfId="1" applyNumberFormat="1" applyFont="1" applyFill="1" applyBorder="1" applyAlignment="1"/>
    <xf numFmtId="43" fontId="0" fillId="0" borderId="113" xfId="0" applyNumberFormat="1" applyBorder="1" applyAlignment="1"/>
    <xf numFmtId="43" fontId="0" fillId="0" borderId="85" xfId="0" applyNumberFormat="1" applyBorder="1" applyAlignment="1"/>
    <xf numFmtId="3" fontId="31" fillId="45" borderId="108" xfId="0" applyNumberFormat="1" applyFont="1" applyFill="1" applyBorder="1" applyAlignment="1"/>
    <xf numFmtId="3" fontId="31" fillId="45" borderId="111" xfId="0" applyNumberFormat="1" applyFont="1" applyFill="1" applyBorder="1" applyAlignment="1"/>
    <xf numFmtId="3" fontId="31" fillId="45" borderId="109" xfId="0" applyNumberFormat="1" applyFont="1" applyFill="1" applyBorder="1" applyAlignment="1"/>
    <xf numFmtId="43" fontId="28" fillId="0" borderId="116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117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21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18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119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3" fontId="32" fillId="45" borderId="96" xfId="0" applyNumberFormat="1" applyFont="1" applyFill="1" applyBorder="1" applyAlignment="1"/>
    <xf numFmtId="3" fontId="32" fillId="45" borderId="103" xfId="0" applyNumberFormat="1" applyFont="1" applyFill="1" applyBorder="1" applyAlignment="1"/>
    <xf numFmtId="4" fontId="26" fillId="0" borderId="2" xfId="1" applyNumberFormat="1" applyFont="1" applyFill="1" applyBorder="1" applyAlignment="1"/>
    <xf numFmtId="4" fontId="26" fillId="0" borderId="9" xfId="1" applyNumberFormat="1" applyFont="1" applyFill="1" applyBorder="1" applyAlignment="1"/>
    <xf numFmtId="4" fontId="26" fillId="0" borderId="11" xfId="1" applyNumberFormat="1" applyFont="1" applyFill="1" applyBorder="1" applyAlignment="1"/>
    <xf numFmtId="4" fontId="26" fillId="0" borderId="100" xfId="1" applyNumberFormat="1" applyFont="1" applyFill="1" applyBorder="1" applyAlignment="1"/>
    <xf numFmtId="3" fontId="26" fillId="0" borderId="101" xfId="1" applyNumberFormat="1" applyFont="1" applyFill="1" applyBorder="1" applyAlignment="1"/>
    <xf numFmtId="3" fontId="26" fillId="0" borderId="1" xfId="1" applyNumberFormat="1" applyFont="1" applyFill="1" applyBorder="1" applyAlignment="1"/>
    <xf numFmtId="4" fontId="26" fillId="0" borderId="1" xfId="1" applyNumberFormat="1" applyFont="1" applyFill="1" applyBorder="1" applyAlignment="1"/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0" fontId="26" fillId="0" borderId="96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/>
    </xf>
    <xf numFmtId="0" fontId="26" fillId="0" borderId="95" xfId="0" applyFont="1" applyBorder="1" applyAlignment="1">
      <alignment horizontal="left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7" fillId="0" borderId="96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4" fontId="26" fillId="0" borderId="102" xfId="1" applyNumberFormat="1" applyFont="1" applyFill="1" applyBorder="1" applyAlignment="1"/>
    <xf numFmtId="0" fontId="27" fillId="0" borderId="103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90" xfId="0" applyBorder="1" applyAlignment="1">
      <alignment horizontal="center"/>
    </xf>
    <xf numFmtId="0" fontId="24" fillId="0" borderId="82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25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43" fontId="28" fillId="0" borderId="4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3" fontId="32" fillId="45" borderId="37" xfId="0" applyNumberFormat="1" applyFont="1" applyFill="1" applyBorder="1" applyAlignment="1" applyProtection="1">
      <protection hidden="1"/>
    </xf>
    <xf numFmtId="0" fontId="33" fillId="45" borderId="14" xfId="0" applyFont="1" applyFill="1" applyBorder="1" applyProtection="1">
      <protection hidden="1"/>
    </xf>
    <xf numFmtId="0" fontId="26" fillId="45" borderId="90" xfId="0" applyFont="1" applyFill="1" applyBorder="1" applyAlignment="1" applyProtection="1">
      <protection hidden="1"/>
    </xf>
    <xf numFmtId="0" fontId="28" fillId="45" borderId="94" xfId="0" applyFont="1" applyFill="1" applyBorder="1" applyAlignment="1" applyProtection="1">
      <protection hidden="1"/>
    </xf>
    <xf numFmtId="3" fontId="31" fillId="50" borderId="28" xfId="0" applyNumberFormat="1" applyFont="1" applyFill="1" applyBorder="1" applyAlignment="1" applyProtection="1">
      <alignment vertical="center"/>
      <protection hidden="1"/>
    </xf>
    <xf numFmtId="0" fontId="0" fillId="50" borderId="139" xfId="0" applyFill="1" applyBorder="1" applyAlignment="1" applyProtection="1">
      <alignment vertical="center"/>
      <protection hidden="1"/>
    </xf>
    <xf numFmtId="0" fontId="28" fillId="0" borderId="114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6" xfId="0" applyFont="1" applyBorder="1" applyAlignment="1" applyProtection="1">
      <alignment horizontal="center"/>
      <protection hidden="1"/>
    </xf>
    <xf numFmtId="43" fontId="26" fillId="0" borderId="101" xfId="1" applyFont="1" applyFill="1" applyBorder="1" applyAlignment="1" applyProtection="1">
      <protection hidden="1"/>
    </xf>
    <xf numFmtId="43" fontId="0" fillId="0" borderId="102" xfId="0" applyNumberFormat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0" fillId="0" borderId="51" xfId="0" applyNumberFormat="1" applyBorder="1" applyAlignment="1" applyProtection="1">
      <protection hidden="1"/>
    </xf>
    <xf numFmtId="43" fontId="31" fillId="45" borderId="13" xfId="0" applyNumberFormat="1" applyFont="1" applyFill="1" applyBorder="1" applyAlignment="1" applyProtection="1">
      <protection hidden="1"/>
    </xf>
    <xf numFmtId="43" fontId="31" fillId="45" borderId="15" xfId="0" applyNumberFormat="1" applyFont="1" applyFill="1" applyBorder="1" applyAlignment="1" applyProtection="1">
      <protection hidden="1"/>
    </xf>
    <xf numFmtId="43" fontId="31" fillId="45" borderId="101" xfId="0" applyNumberFormat="1" applyFont="1" applyFill="1" applyBorder="1" applyAlignment="1" applyProtection="1">
      <protection hidden="1"/>
    </xf>
    <xf numFmtId="43" fontId="31" fillId="45" borderId="102" xfId="0" applyNumberFormat="1" applyFont="1" applyFill="1" applyBorder="1" applyAlignment="1" applyProtection="1">
      <protection hidden="1"/>
    </xf>
    <xf numFmtId="43" fontId="31" fillId="45" borderId="51" xfId="0" applyNumberFormat="1" applyFont="1" applyFill="1" applyBorder="1" applyAlignment="1" applyProtection="1">
      <protection hidden="1"/>
    </xf>
    <xf numFmtId="43" fontId="26" fillId="50" borderId="13" xfId="1" applyNumberFormat="1" applyFont="1" applyFill="1" applyBorder="1" applyAlignment="1" applyProtection="1">
      <protection hidden="1"/>
    </xf>
    <xf numFmtId="43" fontId="26" fillId="50" borderId="15" xfId="1" applyNumberFormat="1" applyFont="1" applyFill="1" applyBorder="1" applyAlignment="1" applyProtection="1">
      <protection hidden="1"/>
    </xf>
    <xf numFmtId="43" fontId="26" fillId="50" borderId="101" xfId="1" applyNumberFormat="1" applyFont="1" applyFill="1" applyBorder="1" applyAlignment="1" applyProtection="1">
      <protection hidden="1"/>
    </xf>
    <xf numFmtId="43" fontId="26" fillId="50" borderId="102" xfId="1" applyNumberFormat="1" applyFont="1" applyFill="1" applyBorder="1" applyAlignment="1" applyProtection="1">
      <protection hidden="1"/>
    </xf>
    <xf numFmtId="43" fontId="26" fillId="50" borderId="51" xfId="1" applyNumberFormat="1" applyFont="1" applyFill="1" applyBorder="1" applyAlignment="1" applyProtection="1">
      <protection hidden="1"/>
    </xf>
    <xf numFmtId="43" fontId="26" fillId="0" borderId="2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5" borderId="137" xfId="0" applyNumberFormat="1" applyFont="1" applyFill="1" applyBorder="1" applyAlignment="1" applyProtection="1">
      <protection hidden="1"/>
    </xf>
    <xf numFmtId="43" fontId="32" fillId="45" borderId="111" xfId="0" applyNumberFormat="1" applyFont="1" applyFill="1" applyBorder="1" applyAlignment="1" applyProtection="1">
      <protection hidden="1"/>
    </xf>
    <xf numFmtId="0" fontId="26" fillId="0" borderId="104" xfId="0" applyFont="1" applyBorder="1" applyAlignment="1" applyProtection="1">
      <alignment horizontal="center" vertical="center" wrapText="1"/>
      <protection hidden="1"/>
    </xf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7" fillId="0" borderId="90" xfId="0" applyFont="1" applyBorder="1" applyAlignment="1" applyProtection="1">
      <alignment horizontal="center" vertical="center"/>
      <protection hidden="1"/>
    </xf>
    <xf numFmtId="0" fontId="27" fillId="0" borderId="94" xfId="0" applyFont="1" applyBorder="1" applyAlignment="1" applyProtection="1">
      <alignment horizontal="center" vertical="center"/>
      <protection hidden="1"/>
    </xf>
    <xf numFmtId="0" fontId="27" fillId="0" borderId="96" xfId="0" applyFont="1" applyBorder="1" applyAlignment="1" applyProtection="1">
      <alignment horizontal="center" vertical="center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131" xfId="0" applyBorder="1" applyAlignment="1" applyProtection="1">
      <alignment horizontal="center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92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 applyProtection="1">
      <alignment horizontal="center"/>
      <protection hidden="1"/>
    </xf>
    <xf numFmtId="0" fontId="0" fillId="0" borderId="127" xfId="0" applyBorder="1" applyAlignment="1" applyProtection="1">
      <alignment horizontal="center"/>
      <protection hidden="1"/>
    </xf>
    <xf numFmtId="0" fontId="25" fillId="0" borderId="126" xfId="0" applyFont="1" applyBorder="1" applyAlignment="1" applyProtection="1">
      <alignment horizontal="center" vertical="center" wrapText="1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25" fillId="0" borderId="120" xfId="0" applyFont="1" applyBorder="1" applyAlignment="1" applyProtection="1">
      <alignment horizontal="center" vertical="center" wrapText="1"/>
      <protection hidden="1"/>
    </xf>
    <xf numFmtId="0" fontId="25" fillId="0" borderId="12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7" fillId="0" borderId="108" xfId="0" applyFont="1" applyBorder="1" applyAlignment="1" applyProtection="1">
      <alignment horizontal="center" vertical="center"/>
      <protection hidden="1"/>
    </xf>
    <xf numFmtId="0" fontId="27" fillId="0" borderId="111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07" xfId="0" applyFont="1" applyBorder="1" applyAlignment="1" applyProtection="1">
      <alignment horizontal="center" vertical="center"/>
      <protection hidden="1"/>
    </xf>
    <xf numFmtId="0" fontId="27" fillId="0" borderId="115" xfId="0" applyFont="1" applyBorder="1" applyAlignment="1" applyProtection="1">
      <alignment horizontal="center" vertical="center"/>
      <protection hidden="1"/>
    </xf>
    <xf numFmtId="0" fontId="27" fillId="0" borderId="132" xfId="0" applyFont="1" applyBorder="1" applyAlignment="1" applyProtection="1">
      <alignment horizontal="center" vertical="center"/>
      <protection hidden="1"/>
    </xf>
    <xf numFmtId="0" fontId="2" fillId="51" borderId="116" xfId="0" applyFont="1" applyFill="1" applyBorder="1" applyAlignment="1" applyProtection="1">
      <alignment horizontal="center"/>
      <protection hidden="1"/>
    </xf>
    <xf numFmtId="0" fontId="0" fillId="51" borderId="0" xfId="0" applyFill="1" applyAlignment="1"/>
    <xf numFmtId="0" fontId="26" fillId="0" borderId="128" xfId="0" applyFont="1" applyBorder="1" applyAlignment="1" applyProtection="1">
      <alignment horizontal="left" vertical="center"/>
      <protection hidden="1"/>
    </xf>
    <xf numFmtId="0" fontId="26" fillId="0" borderId="133" xfId="0" applyFont="1" applyBorder="1" applyAlignment="1" applyProtection="1">
      <alignment horizontal="left" vertical="center"/>
      <protection hidden="1"/>
    </xf>
    <xf numFmtId="0" fontId="26" fillId="0" borderId="128" xfId="0" applyFont="1" applyBorder="1" applyAlignment="1" applyProtection="1">
      <alignment horizontal="center" vertical="center" wrapText="1"/>
      <protection hidden="1"/>
    </xf>
    <xf numFmtId="0" fontId="26" fillId="0" borderId="133" xfId="0" applyFont="1" applyBorder="1" applyAlignment="1" applyProtection="1">
      <alignment horizontal="center" vertical="center" wrapText="1"/>
      <protection hidden="1"/>
    </xf>
    <xf numFmtId="0" fontId="2" fillId="0" borderId="129" xfId="0" applyFont="1" applyBorder="1" applyAlignment="1" applyProtection="1">
      <alignment horizontal="center"/>
      <protection hidden="1"/>
    </xf>
    <xf numFmtId="0" fontId="2" fillId="0" borderId="112" xfId="0" applyFont="1" applyBorder="1" applyAlignment="1" applyProtection="1">
      <alignment horizontal="center"/>
      <protection hidden="1"/>
    </xf>
    <xf numFmtId="0" fontId="2" fillId="0" borderId="130" xfId="0" applyFont="1" applyBorder="1" applyAlignment="1" applyProtection="1">
      <alignment horizontal="center"/>
      <protection hidden="1"/>
    </xf>
    <xf numFmtId="39" fontId="11" fillId="0" borderId="11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119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191" xfId="0" applyNumberFormat="1" applyFont="1" applyFill="1" applyBorder="1" applyAlignment="1" applyProtection="1">
      <alignment horizontal="right" vertical="center" wrapText="1"/>
      <protection hidden="1"/>
    </xf>
    <xf numFmtId="39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2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1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4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34" xfId="0" applyNumberFormat="1" applyFont="1" applyFill="1" applyBorder="1" applyAlignment="1" applyProtection="1">
      <alignment horizontal="right" vertical="center" wrapText="1"/>
      <protection hidden="1"/>
    </xf>
    <xf numFmtId="39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05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0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92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122" xfId="0" applyNumberFormat="1" applyFont="1" applyFill="1" applyBorder="1" applyAlignment="1" applyProtection="1">
      <alignment horizontal="right" vertical="center" wrapText="1"/>
      <protection hidden="1"/>
    </xf>
    <xf numFmtId="43" fontId="11" fillId="0" borderId="32" xfId="0" applyNumberFormat="1" applyFont="1" applyFill="1" applyBorder="1" applyAlignment="1" applyProtection="1">
      <alignment horizontal="center" vertical="center" wrapText="1"/>
      <protection hidden="1"/>
    </xf>
    <xf numFmtId="43" fontId="11" fillId="83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83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83" borderId="32" xfId="0" applyNumberFormat="1" applyFont="1" applyFill="1" applyBorder="1" applyAlignment="1" applyProtection="1">
      <alignment horizontal="center" vertical="center" wrapText="1"/>
      <protection hidden="1"/>
    </xf>
    <xf numFmtId="43" fontId="10" fillId="83" borderId="17" xfId="0" applyNumberFormat="1" applyFont="1" applyFill="1" applyBorder="1" applyAlignment="1" applyProtection="1">
      <alignment horizontal="center" vertical="center" wrapText="1"/>
      <protection hidden="1"/>
    </xf>
    <xf numFmtId="43" fontId="10" fillId="83" borderId="1" xfId="0" applyNumberFormat="1" applyFont="1" applyFill="1" applyBorder="1" applyAlignment="1" applyProtection="1">
      <alignment horizontal="center" vertical="center" wrapText="1"/>
      <protection hidden="1"/>
    </xf>
    <xf numFmtId="39" fontId="3" fillId="0" borderId="117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 shrinkToFi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43" fontId="11" fillId="83" borderId="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 wrapText="1"/>
      <protection hidden="1"/>
    </xf>
    <xf numFmtId="0" fontId="10" fillId="66" borderId="192" xfId="0" applyFont="1" applyFill="1" applyBorder="1" applyAlignment="1" applyProtection="1">
      <alignment horizontal="center" vertical="center" wrapText="1"/>
      <protection hidden="1"/>
    </xf>
    <xf numFmtId="0" fontId="10" fillId="66" borderId="114" xfId="0" applyFont="1" applyFill="1" applyBorder="1" applyAlignment="1" applyProtection="1">
      <alignment horizontal="center" vertical="center" wrapText="1"/>
      <protection hidden="1"/>
    </xf>
    <xf numFmtId="0" fontId="10" fillId="66" borderId="118" xfId="0" applyFont="1" applyFill="1" applyBorder="1" applyAlignment="1" applyProtection="1">
      <alignment horizontal="center" vertical="center" wrapText="1"/>
      <protection hidden="1"/>
    </xf>
    <xf numFmtId="0" fontId="10" fillId="66" borderId="194" xfId="0" applyFont="1" applyFill="1" applyBorder="1" applyAlignment="1" applyProtection="1">
      <alignment horizontal="center" vertical="center" wrapText="1"/>
      <protection hidden="1"/>
    </xf>
    <xf numFmtId="0" fontId="10" fillId="66" borderId="88" xfId="0" applyFont="1" applyFill="1" applyBorder="1" applyAlignment="1" applyProtection="1">
      <alignment horizontal="center" vertical="center" wrapText="1"/>
      <protection hidden="1"/>
    </xf>
    <xf numFmtId="0" fontId="10" fillId="66" borderId="189" xfId="0" applyFont="1" applyFill="1" applyBorder="1" applyAlignment="1" applyProtection="1">
      <alignment horizontal="center" vertical="center" wrapText="1"/>
      <protection hidden="1"/>
    </xf>
    <xf numFmtId="0" fontId="10" fillId="66" borderId="95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91" xfId="0" applyFont="1" applyFill="1" applyBorder="1" applyAlignment="1" applyProtection="1">
      <alignment horizontal="center" vertical="center" wrapText="1"/>
      <protection hidden="1"/>
    </xf>
    <xf numFmtId="0" fontId="5" fillId="64" borderId="38" xfId="0" applyFont="1" applyFill="1" applyBorder="1" applyAlignment="1" applyProtection="1">
      <alignment horizontal="center" vertical="center" wrapText="1"/>
      <protection hidden="1"/>
    </xf>
    <xf numFmtId="0" fontId="5" fillId="64" borderId="5" xfId="0" applyFont="1" applyFill="1" applyBorder="1" applyAlignment="1" applyProtection="1">
      <alignment horizontal="center" vertical="center" wrapText="1"/>
      <protection hidden="1"/>
    </xf>
    <xf numFmtId="0" fontId="5" fillId="64" borderId="6" xfId="0" applyFont="1" applyFill="1" applyBorder="1" applyAlignment="1" applyProtection="1">
      <alignment horizontal="center" vertical="center" wrapText="1"/>
      <protection hidden="1"/>
    </xf>
    <xf numFmtId="0" fontId="5" fillId="64" borderId="39" xfId="0" applyFont="1" applyFill="1" applyBorder="1" applyAlignment="1" applyProtection="1">
      <alignment horizontal="center" vertical="center" wrapText="1"/>
      <protection hidden="1"/>
    </xf>
    <xf numFmtId="0" fontId="5" fillId="64" borderId="0" xfId="0" applyFont="1" applyFill="1" applyBorder="1" applyAlignment="1" applyProtection="1">
      <alignment horizontal="center" vertical="center" wrapText="1"/>
      <protection hidden="1"/>
    </xf>
    <xf numFmtId="0" fontId="5" fillId="64" borderId="8" xfId="0" applyFont="1" applyFill="1" applyBorder="1" applyAlignment="1" applyProtection="1">
      <alignment horizontal="center" vertical="center" wrapText="1"/>
      <protection hidden="1"/>
    </xf>
    <xf numFmtId="0" fontId="5" fillId="64" borderId="40" xfId="0" applyFont="1" applyFill="1" applyBorder="1" applyAlignment="1" applyProtection="1">
      <alignment horizontal="center" vertical="center" wrapText="1"/>
      <protection hidden="1"/>
    </xf>
    <xf numFmtId="0" fontId="5" fillId="64" borderId="10" xfId="0" applyFont="1" applyFill="1" applyBorder="1" applyAlignment="1" applyProtection="1">
      <alignment horizontal="center" vertical="center" wrapText="1"/>
      <protection hidden="1"/>
    </xf>
    <xf numFmtId="0" fontId="5" fillId="64" borderId="11" xfId="0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1" xfId="0" applyFont="1" applyFill="1" applyBorder="1" applyAlignment="1" applyProtection="1">
      <alignment horizontal="center" vertical="center" wrapText="1"/>
      <protection hidden="1"/>
    </xf>
    <xf numFmtId="0" fontId="11" fillId="0" borderId="107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104" xfId="0" applyFont="1" applyFill="1" applyBorder="1" applyAlignment="1" applyProtection="1">
      <alignment horizontal="center" vertical="center"/>
      <protection hidden="1"/>
    </xf>
    <xf numFmtId="0" fontId="11" fillId="0" borderId="105" xfId="0" applyFont="1" applyFill="1" applyBorder="1" applyAlignment="1" applyProtection="1">
      <alignment horizontal="center" vertical="center"/>
      <protection hidden="1"/>
    </xf>
    <xf numFmtId="0" fontId="11" fillId="0" borderId="10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2" xfId="0" applyFont="1" applyFill="1" applyBorder="1" applyAlignment="1" applyProtection="1">
      <alignment horizontal="center" vertical="center" wrapText="1" shrinkToFit="1"/>
      <protection hidden="1"/>
    </xf>
    <xf numFmtId="0" fontId="10" fillId="0" borderId="30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8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10" fillId="66" borderId="193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0" fillId="66" borderId="35" xfId="0" applyFont="1" applyFill="1" applyBorder="1" applyAlignment="1" applyProtection="1">
      <alignment horizontal="center" vertical="center" wrapText="1"/>
      <protection hidden="1"/>
    </xf>
    <xf numFmtId="0" fontId="10" fillId="66" borderId="37" xfId="0" applyFont="1" applyFill="1" applyBorder="1" applyAlignment="1" applyProtection="1">
      <alignment horizontal="center" vertical="center" wrapText="1"/>
      <protection hidden="1"/>
    </xf>
    <xf numFmtId="0" fontId="10" fillId="66" borderId="38" xfId="0" applyFont="1" applyFill="1" applyBorder="1" applyAlignment="1" applyProtection="1">
      <alignment horizontal="center" vertical="center" wrapText="1"/>
      <protection hidden="1"/>
    </xf>
    <xf numFmtId="0" fontId="10" fillId="66" borderId="4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105" xfId="0" applyFont="1" applyFill="1" applyBorder="1" applyAlignment="1" applyProtection="1">
      <alignment horizontal="left" vertical="center" wrapText="1"/>
      <protection hidden="1"/>
    </xf>
    <xf numFmtId="0" fontId="11" fillId="0" borderId="105" xfId="0" applyFont="1" applyFill="1" applyBorder="1" applyAlignment="1" applyProtection="1">
      <alignment horizontal="center" vertical="center" wrapText="1"/>
      <protection hidden="1"/>
    </xf>
    <xf numFmtId="0" fontId="11" fillId="0" borderId="103" xfId="0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5" fillId="64" borderId="118" xfId="0" applyFont="1" applyFill="1" applyBorder="1" applyAlignment="1" applyProtection="1">
      <alignment horizontal="center" vertical="center" wrapText="1"/>
      <protection hidden="1"/>
    </xf>
    <xf numFmtId="0" fontId="5" fillId="64" borderId="116" xfId="0" applyFont="1" applyFill="1" applyBorder="1" applyAlignment="1" applyProtection="1">
      <alignment horizontal="center" vertical="center" wrapText="1"/>
      <protection hidden="1"/>
    </xf>
    <xf numFmtId="0" fontId="5" fillId="64" borderId="123" xfId="0" applyFont="1" applyFill="1" applyBorder="1" applyAlignment="1" applyProtection="1">
      <alignment horizontal="center" vertical="center" wrapText="1"/>
      <protection hidden="1"/>
    </xf>
    <xf numFmtId="0" fontId="10" fillId="0" borderId="195" xfId="0" applyFont="1" applyFill="1" applyBorder="1" applyAlignment="1" applyProtection="1">
      <alignment horizontal="center" vertical="center" wrapText="1" shrinkToFit="1"/>
      <protection hidden="1"/>
    </xf>
    <xf numFmtId="0" fontId="10" fillId="0" borderId="121" xfId="0" applyFont="1" applyFill="1" applyBorder="1" applyAlignment="1" applyProtection="1">
      <alignment horizontal="center" vertical="center" wrapText="1" shrinkToFit="1"/>
      <protection hidden="1"/>
    </xf>
    <xf numFmtId="0" fontId="10" fillId="0" borderId="93" xfId="0" applyFont="1" applyFill="1" applyBorder="1" applyAlignment="1" applyProtection="1">
      <alignment horizontal="center" vertical="center" wrapText="1" shrinkToFit="1"/>
      <protection hidden="1"/>
    </xf>
    <xf numFmtId="43" fontId="11" fillId="0" borderId="91" xfId="0" applyNumberFormat="1" applyFont="1" applyFill="1" applyBorder="1" applyAlignment="1" applyProtection="1">
      <alignment horizontal="center" vertical="center" wrapText="1"/>
      <protection hidden="1"/>
    </xf>
    <xf numFmtId="0" fontId="10" fillId="51" borderId="118" xfId="0" applyFont="1" applyFill="1" applyBorder="1" applyAlignment="1" applyProtection="1">
      <alignment horizontal="center" vertical="center" wrapText="1"/>
      <protection hidden="1"/>
    </xf>
    <xf numFmtId="0" fontId="10" fillId="51" borderId="5" xfId="0" applyFont="1" applyFill="1" applyBorder="1" applyAlignment="1" applyProtection="1">
      <alignment horizontal="center" vertical="center" wrapText="1"/>
      <protection hidden="1"/>
    </xf>
    <xf numFmtId="0" fontId="10" fillId="51" borderId="6" xfId="0" applyFont="1" applyFill="1" applyBorder="1" applyAlignment="1" applyProtection="1">
      <alignment horizontal="center" vertical="center" wrapText="1"/>
      <protection hidden="1"/>
    </xf>
    <xf numFmtId="0" fontId="10" fillId="51" borderId="116" xfId="0" applyFont="1" applyFill="1" applyBorder="1" applyAlignment="1" applyProtection="1">
      <alignment horizontal="center" vertical="center" wrapText="1"/>
      <protection hidden="1"/>
    </xf>
    <xf numFmtId="0" fontId="10" fillId="51" borderId="0" xfId="0" applyFont="1" applyFill="1" applyBorder="1" applyAlignment="1" applyProtection="1">
      <alignment horizontal="center" vertical="center" wrapText="1"/>
      <protection hidden="1"/>
    </xf>
    <xf numFmtId="0" fontId="10" fillId="51" borderId="8" xfId="0" applyFont="1" applyFill="1" applyBorder="1" applyAlignment="1" applyProtection="1">
      <alignment horizontal="center" vertical="center" wrapText="1"/>
      <protection hidden="1"/>
    </xf>
    <xf numFmtId="0" fontId="10" fillId="51" borderId="120" xfId="0" applyFont="1" applyFill="1" applyBorder="1" applyAlignment="1" applyProtection="1">
      <alignment horizontal="center" vertical="center" wrapText="1"/>
      <protection hidden="1"/>
    </xf>
    <xf numFmtId="0" fontId="10" fillId="51" borderId="121" xfId="0" applyFont="1" applyFill="1" applyBorder="1" applyAlignment="1" applyProtection="1">
      <alignment horizontal="center" vertical="center" wrapText="1"/>
      <protection hidden="1"/>
    </xf>
    <xf numFmtId="0" fontId="10" fillId="51" borderId="93" xfId="0" applyFont="1" applyFill="1" applyBorder="1" applyAlignment="1" applyProtection="1">
      <alignment horizontal="center" vertical="center" wrapText="1"/>
      <protection hidden="1"/>
    </xf>
    <xf numFmtId="43" fontId="10" fillId="0" borderId="10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113" xfId="0" applyFont="1" applyFill="1" applyBorder="1" applyAlignment="1" applyProtection="1">
      <alignment horizontal="center" vertical="center" wrapText="1"/>
      <protection hidden="1"/>
    </xf>
    <xf numFmtId="43" fontId="11" fillId="83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83" borderId="103" xfId="0" applyNumberFormat="1" applyFont="1" applyFill="1" applyBorder="1" applyAlignment="1" applyProtection="1">
      <alignment horizontal="center" vertical="center" wrapText="1"/>
      <protection hidden="1"/>
    </xf>
    <xf numFmtId="43" fontId="11" fillId="83" borderId="91" xfId="0" applyNumberFormat="1" applyFont="1" applyFill="1" applyBorder="1" applyAlignment="1" applyProtection="1">
      <alignment horizontal="center" vertical="center" wrapText="1"/>
      <protection hidden="1"/>
    </xf>
    <xf numFmtId="43" fontId="10" fillId="83" borderId="10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2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2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3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83" borderId="12" xfId="0" applyFont="1" applyFill="1" applyBorder="1" applyAlignment="1">
      <alignment horizontal="center" vertical="center" wrapText="1"/>
    </xf>
    <xf numFmtId="0" fontId="1" fillId="83" borderId="2" xfId="0" applyFont="1" applyFill="1" applyBorder="1" applyAlignment="1">
      <alignment horizontal="center" vertical="center" wrapText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0" fillId="83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83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83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26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20" xfId="0" applyFont="1" applyFill="1" applyBorder="1" applyAlignment="1" applyProtection="1">
      <alignment horizontal="center" vertical="center" wrapText="1"/>
      <protection hidden="1"/>
    </xf>
    <xf numFmtId="0" fontId="5" fillId="0" borderId="121" xfId="0" applyFont="1" applyFill="1" applyBorder="1" applyAlignment="1" applyProtection="1">
      <alignment horizontal="center" vertical="center" wrapText="1"/>
      <protection hidden="1"/>
    </xf>
    <xf numFmtId="0" fontId="5" fillId="0" borderId="172" xfId="0" applyFont="1" applyFill="1" applyBorder="1" applyAlignment="1" applyProtection="1">
      <alignment horizontal="center" vertical="center" wrapText="1"/>
      <protection hidden="1"/>
    </xf>
    <xf numFmtId="43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74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9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39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5" xfId="0" applyFont="1" applyFill="1" applyBorder="1" applyAlignment="1" applyProtection="1">
      <alignment horizontal="center" vertical="center" wrapText="1"/>
      <protection hidden="1"/>
    </xf>
    <xf numFmtId="0" fontId="10" fillId="0" borderId="171" xfId="0" applyFont="1" applyFill="1" applyBorder="1" applyAlignment="1" applyProtection="1">
      <alignment horizontal="center" vertical="center" wrapText="1"/>
      <protection hidden="1"/>
    </xf>
    <xf numFmtId="0" fontId="10" fillId="0" borderId="100" xfId="0" applyFont="1" applyFill="1" applyBorder="1" applyAlignment="1" applyProtection="1">
      <alignment horizontal="center" vertical="center" wrapText="1"/>
      <protection hidden="1"/>
    </xf>
    <xf numFmtId="43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192" xfId="0" applyFont="1" applyFill="1" applyBorder="1" applyAlignment="1" applyProtection="1">
      <alignment horizontal="center" vertical="center" wrapText="1"/>
      <protection hidden="1"/>
    </xf>
    <xf numFmtId="0" fontId="10" fillId="0" borderId="114" xfId="0" applyFont="1" applyFill="1" applyBorder="1" applyAlignment="1" applyProtection="1">
      <alignment horizontal="center" vertical="center" wrapText="1"/>
      <protection hidden="1"/>
    </xf>
    <xf numFmtId="0" fontId="10" fillId="0" borderId="118" xfId="0" applyFont="1" applyFill="1" applyBorder="1" applyAlignment="1" applyProtection="1">
      <alignment horizontal="center" vertical="center" wrapText="1"/>
      <protection hidden="1"/>
    </xf>
    <xf numFmtId="0" fontId="10" fillId="0" borderId="193" xfId="0" applyFont="1" applyFill="1" applyBorder="1" applyAlignment="1" applyProtection="1">
      <alignment horizontal="center" vertical="center" wrapText="1"/>
      <protection hidden="1"/>
    </xf>
    <xf numFmtId="43" fontId="11" fillId="83" borderId="33" xfId="0" applyNumberFormat="1" applyFont="1" applyFill="1" applyBorder="1" applyAlignment="1" applyProtection="1">
      <alignment horizontal="center" vertical="center" wrapText="1"/>
      <protection hidden="1"/>
    </xf>
    <xf numFmtId="43" fontId="10" fillId="51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51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51" borderId="3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121" xfId="0" applyFont="1" applyBorder="1" applyAlignment="1" applyProtection="1">
      <alignment horizontal="left" vertical="center" wrapText="1"/>
      <protection hidden="1"/>
    </xf>
    <xf numFmtId="0" fontId="8" fillId="61" borderId="104" xfId="0" applyFont="1" applyFill="1" applyBorder="1" applyAlignment="1" applyProtection="1">
      <alignment horizontal="center" vertical="center" wrapText="1"/>
      <protection hidden="1"/>
    </xf>
    <xf numFmtId="0" fontId="8" fillId="61" borderId="101" xfId="0" applyFont="1" applyFill="1" applyBorder="1" applyAlignment="1" applyProtection="1">
      <alignment horizontal="center" vertical="center" wrapText="1"/>
      <protection hidden="1"/>
    </xf>
    <xf numFmtId="0" fontId="8" fillId="61" borderId="107" xfId="0" applyFont="1" applyFill="1" applyBorder="1" applyAlignment="1" applyProtection="1">
      <alignment horizontal="center" vertical="center" wrapText="1"/>
      <protection hidden="1"/>
    </xf>
    <xf numFmtId="0" fontId="8" fillId="61" borderId="140" xfId="0" applyFont="1" applyFill="1" applyBorder="1" applyAlignment="1" applyProtection="1">
      <alignment horizontal="center" vertical="center" wrapText="1"/>
      <protection hidden="1"/>
    </xf>
    <xf numFmtId="0" fontId="8" fillId="61" borderId="105" xfId="0" applyFont="1" applyFill="1" applyBorder="1" applyAlignment="1" applyProtection="1">
      <alignment horizontal="center" vertical="center" wrapText="1"/>
      <protection hidden="1"/>
    </xf>
    <xf numFmtId="0" fontId="8" fillId="61" borderId="1" xfId="0" applyFont="1" applyFill="1" applyBorder="1" applyAlignment="1" applyProtection="1">
      <alignment horizontal="center" vertical="center" wrapText="1"/>
      <protection hidden="1"/>
    </xf>
    <xf numFmtId="0" fontId="8" fillId="61" borderId="83" xfId="0" applyFont="1" applyFill="1" applyBorder="1" applyAlignment="1" applyProtection="1">
      <alignment horizontal="center" vertical="center" wrapText="1"/>
      <protection hidden="1"/>
    </xf>
    <xf numFmtId="0" fontId="8" fillId="61" borderId="84" xfId="0" applyFont="1" applyFill="1" applyBorder="1" applyAlignment="1" applyProtection="1">
      <alignment horizontal="center" vertical="center" wrapText="1"/>
      <protection hidden="1"/>
    </xf>
    <xf numFmtId="0" fontId="8" fillId="61" borderId="7" xfId="0" applyFont="1" applyFill="1" applyBorder="1" applyAlignment="1" applyProtection="1">
      <alignment horizontal="center" vertical="center" wrapText="1"/>
      <protection hidden="1"/>
    </xf>
    <xf numFmtId="0" fontId="8" fillId="61" borderId="8" xfId="0" applyFont="1" applyFill="1" applyBorder="1" applyAlignment="1" applyProtection="1">
      <alignment horizontal="center" vertical="center" wrapText="1"/>
      <protection hidden="1"/>
    </xf>
    <xf numFmtId="0" fontId="8" fillId="61" borderId="9" xfId="0" applyFont="1" applyFill="1" applyBorder="1" applyAlignment="1" applyProtection="1">
      <alignment horizontal="center" vertical="center" wrapText="1"/>
      <protection hidden="1"/>
    </xf>
    <xf numFmtId="0" fontId="8" fillId="61" borderId="11" xfId="0" applyFont="1" applyFill="1" applyBorder="1" applyAlignment="1" applyProtection="1">
      <alignment horizontal="center" vertical="center" wrapText="1"/>
      <protection hidden="1"/>
    </xf>
    <xf numFmtId="0" fontId="8" fillId="61" borderId="82" xfId="0" applyFont="1" applyFill="1" applyBorder="1" applyAlignment="1" applyProtection="1">
      <alignment horizontal="center" vertical="center" wrapText="1"/>
      <protection hidden="1"/>
    </xf>
    <xf numFmtId="0" fontId="8" fillId="61" borderId="12" xfId="0" applyFont="1" applyFill="1" applyBorder="1" applyAlignment="1" applyProtection="1">
      <alignment horizontal="center" vertical="center"/>
      <protection hidden="1"/>
    </xf>
    <xf numFmtId="0" fontId="8" fillId="61" borderId="112" xfId="0" applyFont="1" applyFill="1" applyBorder="1" applyAlignment="1" applyProtection="1">
      <alignment horizontal="center" vertical="center" wrapText="1"/>
      <protection hidden="1"/>
    </xf>
    <xf numFmtId="0" fontId="0" fillId="61" borderId="112" xfId="0" applyFont="1" applyFill="1" applyBorder="1" applyProtection="1">
      <protection hidden="1"/>
    </xf>
    <xf numFmtId="0" fontId="0" fillId="61" borderId="130" xfId="0" applyFont="1" applyFill="1" applyBorder="1" applyProtection="1">
      <protection hidden="1"/>
    </xf>
    <xf numFmtId="0" fontId="0" fillId="61" borderId="7" xfId="0" applyFont="1" applyFill="1" applyBorder="1" applyProtection="1">
      <protection hidden="1"/>
    </xf>
    <xf numFmtId="0" fontId="0" fillId="61" borderId="0" xfId="0" applyFont="1" applyFill="1" applyBorder="1" applyProtection="1">
      <protection hidden="1"/>
    </xf>
    <xf numFmtId="0" fontId="0" fillId="61" borderId="117" xfId="0" applyFont="1" applyFill="1" applyBorder="1" applyProtection="1">
      <protection hidden="1"/>
    </xf>
    <xf numFmtId="0" fontId="0" fillId="61" borderId="9" xfId="0" applyFont="1" applyFill="1" applyBorder="1" applyProtection="1">
      <protection hidden="1"/>
    </xf>
    <xf numFmtId="0" fontId="0" fillId="61" borderId="10" xfId="0" applyFont="1" applyFill="1" applyBorder="1" applyProtection="1">
      <protection hidden="1"/>
    </xf>
    <xf numFmtId="0" fontId="0" fillId="61" borderId="124" xfId="0" applyFont="1" applyFill="1" applyBorder="1" applyProtection="1">
      <protection hidden="1"/>
    </xf>
    <xf numFmtId="1" fontId="9" fillId="61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1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1" borderId="32" xfId="0" applyNumberFormat="1" applyFont="1" applyFill="1" applyBorder="1" applyAlignment="1" applyProtection="1">
      <alignment horizontal="center"/>
      <protection hidden="1"/>
    </xf>
    <xf numFmtId="1" fontId="9" fillId="61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1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1" borderId="29" xfId="0" applyNumberFormat="1" applyFont="1" applyFill="1" applyBorder="1" applyAlignment="1" applyProtection="1">
      <alignment horizontal="center"/>
      <protection hidden="1"/>
    </xf>
    <xf numFmtId="0" fontId="9" fillId="61" borderId="4" xfId="0" applyFont="1" applyFill="1" applyBorder="1" applyAlignment="1" applyProtection="1">
      <alignment horizontal="center" vertical="center" wrapText="1"/>
      <protection hidden="1"/>
    </xf>
    <xf numFmtId="0" fontId="9" fillId="61" borderId="119" xfId="0" applyFont="1" applyFill="1" applyBorder="1" applyAlignment="1" applyProtection="1">
      <alignment horizontal="center" vertical="center" wrapText="1"/>
      <protection hidden="1"/>
    </xf>
    <xf numFmtId="0" fontId="9" fillId="61" borderId="7" xfId="0" applyFont="1" applyFill="1" applyBorder="1" applyAlignment="1" applyProtection="1">
      <alignment horizontal="center" vertical="center" wrapText="1"/>
      <protection hidden="1"/>
    </xf>
    <xf numFmtId="0" fontId="9" fillId="61" borderId="117" xfId="0" applyFont="1" applyFill="1" applyBorder="1" applyAlignment="1" applyProtection="1">
      <alignment horizontal="center" vertical="center" wrapText="1"/>
      <protection hidden="1"/>
    </xf>
    <xf numFmtId="0" fontId="9" fillId="61" borderId="29" xfId="0" applyFont="1" applyFill="1" applyBorder="1" applyAlignment="1" applyProtection="1">
      <alignment horizontal="center" vertical="center" wrapText="1"/>
      <protection hidden="1"/>
    </xf>
    <xf numFmtId="0" fontId="9" fillId="61" borderId="191" xfId="0" applyFont="1" applyFill="1" applyBorder="1" applyAlignment="1" applyProtection="1">
      <alignment horizontal="center" vertical="center" wrapText="1"/>
      <protection hidden="1"/>
    </xf>
    <xf numFmtId="0" fontId="8" fillId="61" borderId="4" xfId="0" applyFont="1" applyFill="1" applyBorder="1" applyAlignment="1" applyProtection="1">
      <alignment horizontal="center" vertical="center" wrapText="1"/>
      <protection hidden="1"/>
    </xf>
    <xf numFmtId="0" fontId="8" fillId="61" borderId="6" xfId="0" applyFont="1" applyFill="1" applyBorder="1" applyAlignment="1" applyProtection="1">
      <alignment horizontal="center" vertical="center" wrapText="1"/>
      <protection hidden="1"/>
    </xf>
    <xf numFmtId="0" fontId="8" fillId="61" borderId="5" xfId="0" applyFont="1" applyFill="1" applyBorder="1" applyAlignment="1" applyProtection="1">
      <alignment horizontal="center" vertical="center" wrapText="1"/>
      <protection hidden="1"/>
    </xf>
    <xf numFmtId="0" fontId="8" fillId="61" borderId="10" xfId="0" applyFont="1" applyFill="1" applyBorder="1" applyAlignment="1" applyProtection="1">
      <alignment horizontal="center" vertical="center" wrapText="1"/>
      <protection hidden="1"/>
    </xf>
    <xf numFmtId="0" fontId="9" fillId="61" borderId="3" xfId="0" applyFont="1" applyFill="1" applyBorder="1" applyAlignment="1" applyProtection="1">
      <alignment horizontal="center" vertical="center" wrapText="1"/>
      <protection hidden="1"/>
    </xf>
    <xf numFmtId="0" fontId="0" fillId="61" borderId="12" xfId="0" applyFont="1" applyFill="1" applyBorder="1" applyProtection="1">
      <protection hidden="1"/>
    </xf>
    <xf numFmtId="0" fontId="0" fillId="61" borderId="32" xfId="0" applyFont="1" applyFill="1" applyBorder="1" applyProtection="1">
      <protection hidden="1"/>
    </xf>
    <xf numFmtId="0" fontId="9" fillId="61" borderId="12" xfId="0" applyFont="1" applyFill="1" applyBorder="1" applyAlignment="1" applyProtection="1">
      <alignment horizontal="center" vertical="center" wrapText="1"/>
      <protection hidden="1"/>
    </xf>
    <xf numFmtId="0" fontId="9" fillId="61" borderId="32" xfId="0" applyFont="1" applyFill="1" applyBorder="1" applyAlignment="1" applyProtection="1">
      <alignment horizontal="center" vertical="center" wrapText="1"/>
      <protection hidden="1"/>
    </xf>
    <xf numFmtId="0" fontId="8" fillId="61" borderId="0" xfId="0" applyFont="1" applyFill="1" applyBorder="1" applyAlignment="1" applyProtection="1">
      <alignment horizontal="center" vertical="center" wrapText="1"/>
      <protection hidden="1"/>
    </xf>
    <xf numFmtId="43" fontId="10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 shrinkToFit="1"/>
      <protection hidden="1"/>
    </xf>
    <xf numFmtId="0" fontId="10" fillId="0" borderId="6" xfId="0" applyFont="1" applyFill="1" applyBorder="1" applyAlignment="1" applyProtection="1">
      <alignment horizontal="center" vertical="center" wrapText="1" shrinkToFit="1"/>
      <protection hidden="1"/>
    </xf>
    <xf numFmtId="1" fontId="9" fillId="61" borderId="32" xfId="0" applyNumberFormat="1" applyFont="1" applyFill="1" applyBorder="1" applyAlignment="1" applyProtection="1">
      <alignment horizontal="center" vertical="center" wrapText="1"/>
      <protection hidden="1"/>
    </xf>
    <xf numFmtId="1" fontId="8" fillId="82" borderId="3" xfId="0" applyNumberFormat="1" applyFont="1" applyFill="1" applyBorder="1" applyAlignment="1" applyProtection="1">
      <alignment horizontal="center" vertical="center" wrapText="1"/>
      <protection hidden="1"/>
    </xf>
    <xf numFmtId="1" fontId="8" fillId="82" borderId="12" xfId="0" applyNumberFormat="1" applyFont="1" applyFill="1" applyBorder="1" applyAlignment="1" applyProtection="1">
      <alignment horizontal="center" vertical="center" wrapText="1"/>
      <protection hidden="1"/>
    </xf>
    <xf numFmtId="1" fontId="8" fillId="82" borderId="32" xfId="0" applyNumberFormat="1" applyFont="1" applyFill="1" applyBorder="1" applyAlignment="1" applyProtection="1">
      <alignment horizontal="center"/>
      <protection hidden="1"/>
    </xf>
    <xf numFmtId="0" fontId="8" fillId="61" borderId="12" xfId="0" applyFont="1" applyFill="1" applyBorder="1" applyAlignment="1" applyProtection="1">
      <alignment horizontal="center" vertical="center" wrapText="1"/>
      <protection hidden="1"/>
    </xf>
    <xf numFmtId="0" fontId="8" fillId="61" borderId="32" xfId="0" applyFont="1" applyFill="1" applyBorder="1" applyAlignment="1" applyProtection="1">
      <alignment horizontal="center" vertical="center" wrapText="1"/>
      <protection hidden="1"/>
    </xf>
    <xf numFmtId="0" fontId="8" fillId="61" borderId="33" xfId="0" applyFont="1" applyFill="1" applyBorder="1" applyAlignment="1" applyProtection="1">
      <alignment horizontal="center" vertical="center" wrapText="1"/>
      <protection hidden="1"/>
    </xf>
    <xf numFmtId="0" fontId="8" fillId="61" borderId="29" xfId="0" applyFont="1" applyFill="1" applyBorder="1" applyAlignment="1" applyProtection="1">
      <alignment horizontal="center" vertical="center" wrapText="1"/>
      <protection hidden="1"/>
    </xf>
    <xf numFmtId="0" fontId="8" fillId="61" borderId="30" xfId="0" applyFont="1" applyFill="1" applyBorder="1" applyAlignment="1" applyProtection="1">
      <alignment horizontal="center" vertical="center" wrapText="1"/>
      <protection hidden="1"/>
    </xf>
    <xf numFmtId="0" fontId="8" fillId="61" borderId="31" xfId="0" applyFont="1" applyFill="1" applyBorder="1" applyAlignment="1" applyProtection="1">
      <alignment horizontal="center" vertical="center" wrapText="1"/>
      <protection hidden="1"/>
    </xf>
    <xf numFmtId="43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8" xfId="0" applyNumberFormat="1" applyFont="1" applyFill="1" applyBorder="1" applyAlignment="1" applyProtection="1">
      <alignment horizontal="center" vertical="center"/>
      <protection hidden="1"/>
    </xf>
    <xf numFmtId="0" fontId="10" fillId="66" borderId="89" xfId="0" applyFont="1" applyFill="1" applyBorder="1" applyAlignment="1" applyProtection="1">
      <alignment horizontal="center" vertical="center" wrapText="1"/>
      <protection hidden="1"/>
    </xf>
    <xf numFmtId="0" fontId="11" fillId="0" borderId="196" xfId="0" applyFont="1" applyFill="1" applyBorder="1" applyAlignment="1" applyProtection="1">
      <alignment horizontal="center" vertical="center"/>
      <protection hidden="1"/>
    </xf>
    <xf numFmtId="0" fontId="11" fillId="0" borderId="82" xfId="0" applyFont="1" applyFill="1" applyBorder="1" applyAlignment="1" applyProtection="1">
      <alignment horizontal="center" vertical="center" wrapText="1"/>
      <protection hidden="1"/>
    </xf>
    <xf numFmtId="43" fontId="10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right"/>
      <protection hidden="1"/>
    </xf>
    <xf numFmtId="0" fontId="81" fillId="0" borderId="0" xfId="0" applyFont="1" applyAlignment="1">
      <alignment horizontal="right"/>
    </xf>
    <xf numFmtId="0" fontId="10" fillId="20" borderId="39" xfId="5" applyFont="1" applyFill="1" applyBorder="1" applyAlignment="1" applyProtection="1">
      <alignment horizontal="center" vertical="center" wrapText="1" shrinkToFit="1"/>
      <protection hidden="1"/>
    </xf>
    <xf numFmtId="0" fontId="10" fillId="20" borderId="0" xfId="5" applyFont="1" applyFill="1" applyBorder="1" applyAlignment="1" applyProtection="1">
      <alignment horizontal="center" vertical="center" wrapText="1" shrinkToFit="1"/>
      <protection hidden="1"/>
    </xf>
    <xf numFmtId="0" fontId="10" fillId="20" borderId="8" xfId="5" applyFont="1" applyFill="1" applyBorder="1" applyAlignment="1" applyProtection="1">
      <alignment horizontal="center" vertical="center" wrapText="1" shrinkToFit="1"/>
      <protection hidden="1"/>
    </xf>
    <xf numFmtId="0" fontId="10" fillId="20" borderId="42" xfId="5" applyFont="1" applyFill="1" applyBorder="1" applyAlignment="1" applyProtection="1">
      <alignment horizontal="center" vertical="center" wrapText="1" shrinkToFit="1"/>
      <protection hidden="1"/>
    </xf>
    <xf numFmtId="0" fontId="10" fillId="20" borderId="30" xfId="5" applyFont="1" applyFill="1" applyBorder="1" applyAlignment="1" applyProtection="1">
      <alignment horizontal="center" vertical="center" wrapText="1" shrinkToFit="1"/>
      <protection hidden="1"/>
    </xf>
    <xf numFmtId="0" fontId="10" fillId="20" borderId="31" xfId="5" applyFont="1" applyFill="1" applyBorder="1" applyAlignment="1" applyProtection="1">
      <alignment horizontal="center" vertical="center" wrapText="1" shrinkToFit="1"/>
      <protection hidden="1"/>
    </xf>
    <xf numFmtId="0" fontId="3" fillId="23" borderId="3" xfId="5" applyFont="1" applyFill="1" applyBorder="1" applyAlignment="1" applyProtection="1">
      <alignment horizontal="center" vertical="center" wrapText="1"/>
      <protection hidden="1"/>
    </xf>
    <xf numFmtId="0" fontId="3" fillId="23" borderId="12" xfId="5" applyFont="1" applyFill="1" applyBorder="1" applyAlignment="1" applyProtection="1">
      <alignment horizontal="center" vertical="center" wrapText="1"/>
      <protection hidden="1"/>
    </xf>
    <xf numFmtId="0" fontId="3" fillId="23" borderId="32" xfId="5" applyFont="1" applyFill="1" applyBorder="1" applyAlignment="1" applyProtection="1">
      <alignment horizontal="center" vertical="center" wrapText="1"/>
      <protection hidden="1"/>
    </xf>
    <xf numFmtId="0" fontId="10" fillId="20" borderId="35" xfId="5" applyFont="1" applyFill="1" applyBorder="1" applyAlignment="1" applyProtection="1">
      <alignment horizontal="center" vertical="center" wrapText="1"/>
      <protection hidden="1"/>
    </xf>
    <xf numFmtId="0" fontId="10" fillId="20" borderId="37" xfId="5" applyFont="1" applyFill="1" applyBorder="1" applyAlignment="1" applyProtection="1">
      <alignment horizontal="center" vertical="center" wrapText="1"/>
      <protection hidden="1"/>
    </xf>
    <xf numFmtId="0" fontId="10" fillId="20" borderId="38" xfId="5" applyFont="1" applyFill="1" applyBorder="1" applyAlignment="1" applyProtection="1">
      <alignment horizontal="center" vertical="center" wrapText="1"/>
      <protection hidden="1"/>
    </xf>
    <xf numFmtId="0" fontId="10" fillId="20" borderId="41" xfId="5" applyFont="1" applyFill="1" applyBorder="1" applyAlignment="1" applyProtection="1">
      <alignment horizontal="center" vertical="center" wrapText="1"/>
      <protection hidden="1"/>
    </xf>
    <xf numFmtId="0" fontId="11" fillId="20" borderId="16" xfId="5" applyFont="1" applyFill="1" applyBorder="1" applyAlignment="1" applyProtection="1">
      <alignment horizontal="center" vertical="center"/>
      <protection hidden="1"/>
    </xf>
    <xf numFmtId="0" fontId="11" fillId="20" borderId="17" xfId="5" applyFont="1" applyFill="1" applyBorder="1" applyAlignment="1" applyProtection="1">
      <alignment horizontal="center" vertical="center"/>
      <protection hidden="1"/>
    </xf>
    <xf numFmtId="0" fontId="11" fillId="20" borderId="23" xfId="5" applyFont="1" applyFill="1" applyBorder="1" applyAlignment="1" applyProtection="1">
      <alignment horizontal="center" vertical="center"/>
      <protection hidden="1"/>
    </xf>
    <xf numFmtId="0" fontId="11" fillId="20" borderId="1" xfId="5" applyFont="1" applyFill="1" applyBorder="1" applyAlignment="1" applyProtection="1">
      <alignment horizontal="center" vertical="center"/>
      <protection hidden="1"/>
    </xf>
    <xf numFmtId="0" fontId="11" fillId="20" borderId="17" xfId="5" applyFont="1" applyFill="1" applyBorder="1" applyAlignment="1" applyProtection="1">
      <alignment horizontal="left" vertical="center" wrapText="1"/>
      <protection hidden="1"/>
    </xf>
    <xf numFmtId="0" fontId="11" fillId="20" borderId="1" xfId="5" applyFont="1" applyFill="1" applyBorder="1" applyAlignment="1" applyProtection="1">
      <alignment horizontal="left" vertical="center" wrapText="1"/>
      <protection hidden="1"/>
    </xf>
    <xf numFmtId="0" fontId="11" fillId="20" borderId="20" xfId="5" applyFont="1" applyFill="1" applyBorder="1" applyAlignment="1" applyProtection="1">
      <alignment horizontal="center" vertical="center" wrapText="1"/>
      <protection hidden="1"/>
    </xf>
    <xf numFmtId="0" fontId="11" fillId="20" borderId="12" xfId="5" applyFont="1" applyFill="1" applyBorder="1" applyAlignment="1" applyProtection="1">
      <alignment horizontal="center" vertical="center" wrapText="1"/>
      <protection hidden="1"/>
    </xf>
    <xf numFmtId="0" fontId="11" fillId="20" borderId="8" xfId="5" applyFont="1" applyFill="1" applyBorder="1" applyAlignment="1" applyProtection="1">
      <alignment horizontal="center" vertical="center" wrapText="1"/>
      <protection hidden="1"/>
    </xf>
    <xf numFmtId="0" fontId="11" fillId="20" borderId="32" xfId="5" applyFont="1" applyFill="1" applyBorder="1" applyAlignment="1" applyProtection="1">
      <alignment horizontal="center" vertical="center" wrapText="1"/>
      <protection hidden="1"/>
    </xf>
    <xf numFmtId="4" fontId="10" fillId="22" borderId="20" xfId="5" applyNumberFormat="1" applyFont="1" applyFill="1" applyBorder="1" applyAlignment="1" applyProtection="1">
      <alignment horizontal="right" vertical="center" wrapText="1"/>
      <protection hidden="1"/>
    </xf>
    <xf numFmtId="4" fontId="10" fillId="22" borderId="12" xfId="5" applyNumberFormat="1" applyFont="1" applyFill="1" applyBorder="1" applyAlignment="1" applyProtection="1">
      <alignment horizontal="right" vertical="center"/>
      <protection hidden="1"/>
    </xf>
    <xf numFmtId="0" fontId="61" fillId="23" borderId="17" xfId="5" applyFont="1" applyFill="1" applyBorder="1" applyAlignment="1" applyProtection="1">
      <alignment horizontal="center" vertical="center" wrapText="1"/>
      <protection hidden="1"/>
    </xf>
    <xf numFmtId="0" fontId="61" fillId="23" borderId="1" xfId="5" applyFont="1" applyFill="1" applyBorder="1" applyAlignment="1" applyProtection="1">
      <alignment horizontal="center" vertical="center" wrapText="1"/>
      <protection hidden="1"/>
    </xf>
    <xf numFmtId="43" fontId="10" fillId="20" borderId="17" xfId="5" applyNumberFormat="1" applyFont="1" applyFill="1" applyBorder="1" applyAlignment="1" applyProtection="1">
      <alignment horizontal="center" vertical="center" wrapText="1"/>
      <protection hidden="1"/>
    </xf>
    <xf numFmtId="43" fontId="10" fillId="2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0" borderId="17" xfId="5" applyFont="1" applyFill="1" applyBorder="1" applyAlignment="1" applyProtection="1">
      <alignment horizontal="center" vertical="center" wrapText="1"/>
      <protection hidden="1"/>
    </xf>
    <xf numFmtId="0" fontId="11" fillId="20" borderId="1" xfId="5" applyFont="1" applyFill="1" applyBorder="1" applyAlignment="1" applyProtection="1">
      <alignment horizontal="center" vertical="center" wrapText="1"/>
      <protection hidden="1"/>
    </xf>
    <xf numFmtId="4" fontId="10" fillId="20" borderId="17" xfId="5" applyNumberFormat="1" applyFont="1" applyFill="1" applyBorder="1" applyAlignment="1" applyProtection="1">
      <alignment horizontal="center" vertical="center" wrapText="1"/>
      <protection hidden="1"/>
    </xf>
    <xf numFmtId="4" fontId="10" fillId="20" borderId="1" xfId="5" applyNumberFormat="1" applyFont="1" applyFill="1" applyBorder="1" applyAlignment="1" applyProtection="1">
      <alignment horizontal="center" vertical="center" wrapText="1"/>
      <protection hidden="1"/>
    </xf>
    <xf numFmtId="43" fontId="3" fillId="20" borderId="7" xfId="5" applyNumberFormat="1" applyFont="1" applyFill="1" applyBorder="1" applyAlignment="1" applyProtection="1">
      <alignment horizontal="left" vertical="center" wrapText="1"/>
      <protection hidden="1"/>
    </xf>
    <xf numFmtId="39" fontId="11" fillId="20" borderId="24" xfId="5" applyNumberFormat="1" applyFont="1" applyFill="1" applyBorder="1" applyAlignment="1" applyProtection="1">
      <alignment horizontal="right" vertical="center" wrapText="1"/>
      <protection hidden="1"/>
    </xf>
    <xf numFmtId="43" fontId="3" fillId="20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0" borderId="29" xfId="5" applyNumberFormat="1" applyFont="1" applyFill="1" applyBorder="1" applyAlignment="1" applyProtection="1">
      <alignment horizontal="center" vertical="center" wrapText="1"/>
      <protection hidden="1"/>
    </xf>
    <xf numFmtId="39" fontId="11" fillId="20" borderId="172" xfId="5" applyNumberFormat="1" applyFont="1" applyFill="1" applyBorder="1" applyAlignment="1" applyProtection="1">
      <alignment horizontal="right" vertical="center" wrapText="1"/>
      <protection hidden="1"/>
    </xf>
    <xf numFmtId="39" fontId="10" fillId="20" borderId="18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24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25" xfId="5" applyNumberFormat="1" applyFont="1" applyFill="1" applyBorder="1" applyAlignment="1" applyProtection="1">
      <alignment horizontal="center" vertical="center" wrapText="1"/>
      <protection hidden="1"/>
    </xf>
    <xf numFmtId="0" fontId="11" fillId="20" borderId="23" xfId="5" applyFont="1" applyFill="1" applyBorder="1" applyAlignment="1" applyProtection="1">
      <alignment horizontal="center" vertical="center" wrapText="1"/>
      <protection hidden="1"/>
    </xf>
    <xf numFmtId="0" fontId="11" fillId="20" borderId="27" xfId="5" applyFont="1" applyFill="1" applyBorder="1" applyAlignment="1" applyProtection="1">
      <alignment horizontal="center" vertical="center" wrapText="1"/>
      <protection hidden="1"/>
    </xf>
    <xf numFmtId="0" fontId="11" fillId="20" borderId="3" xfId="5" applyFont="1" applyFill="1" applyBorder="1" applyAlignment="1" applyProtection="1">
      <alignment horizontal="center" vertical="center" wrapText="1"/>
      <protection hidden="1"/>
    </xf>
    <xf numFmtId="0" fontId="11" fillId="20" borderId="3" xfId="5" applyFont="1" applyFill="1" applyBorder="1" applyAlignment="1" applyProtection="1">
      <alignment horizontal="left" vertical="center" wrapText="1"/>
      <protection hidden="1"/>
    </xf>
    <xf numFmtId="0" fontId="10" fillId="74" borderId="38" xfId="5" applyFont="1" applyFill="1" applyBorder="1" applyAlignment="1" applyProtection="1">
      <alignment horizontal="center" vertical="center" wrapText="1"/>
      <protection hidden="1"/>
    </xf>
    <xf numFmtId="0" fontId="10" fillId="74" borderId="5" xfId="5" applyFont="1" applyFill="1" applyBorder="1" applyAlignment="1" applyProtection="1">
      <alignment horizontal="center" vertical="center" wrapText="1"/>
      <protection hidden="1"/>
    </xf>
    <xf numFmtId="0" fontId="10" fillId="74" borderId="6" xfId="5" applyFont="1" applyFill="1" applyBorder="1" applyAlignment="1" applyProtection="1">
      <alignment horizontal="center" vertical="center" wrapText="1"/>
      <protection hidden="1"/>
    </xf>
    <xf numFmtId="0" fontId="10" fillId="74" borderId="39" xfId="5" applyFont="1" applyFill="1" applyBorder="1" applyAlignment="1" applyProtection="1">
      <alignment horizontal="center" vertical="center" wrapText="1"/>
      <protection hidden="1"/>
    </xf>
    <xf numFmtId="0" fontId="10" fillId="74" borderId="0" xfId="5" applyFont="1" applyFill="1" applyBorder="1" applyAlignment="1" applyProtection="1">
      <alignment horizontal="center" vertical="center" wrapText="1"/>
      <protection hidden="1"/>
    </xf>
    <xf numFmtId="0" fontId="10" fillId="74" borderId="8" xfId="5" applyFont="1" applyFill="1" applyBorder="1" applyAlignment="1" applyProtection="1">
      <alignment horizontal="center" vertical="center" wrapText="1"/>
      <protection hidden="1"/>
    </xf>
    <xf numFmtId="0" fontId="10" fillId="74" borderId="40" xfId="5" applyFont="1" applyFill="1" applyBorder="1" applyAlignment="1" applyProtection="1">
      <alignment horizontal="center" vertical="center" wrapText="1"/>
      <protection hidden="1"/>
    </xf>
    <xf numFmtId="0" fontId="10" fillId="74" borderId="10" xfId="5" applyFont="1" applyFill="1" applyBorder="1" applyAlignment="1" applyProtection="1">
      <alignment horizontal="center" vertical="center" wrapText="1"/>
      <protection hidden="1"/>
    </xf>
    <xf numFmtId="0" fontId="10" fillId="74" borderId="11" xfId="5" applyFont="1" applyFill="1" applyBorder="1" applyAlignment="1" applyProtection="1">
      <alignment horizontal="center" vertical="center" wrapText="1"/>
      <protection hidden="1"/>
    </xf>
    <xf numFmtId="0" fontId="3" fillId="23" borderId="1" xfId="5" applyFont="1" applyFill="1" applyBorder="1" applyAlignment="1" applyProtection="1">
      <alignment horizontal="center" vertical="center" wrapText="1"/>
      <protection hidden="1"/>
    </xf>
    <xf numFmtId="43" fontId="11" fillId="20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0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0" borderId="33" xfId="5" applyNumberFormat="1" applyFont="1" applyFill="1" applyBorder="1" applyAlignment="1" applyProtection="1">
      <alignment horizontal="center" vertical="center" wrapText="1"/>
      <protection hidden="1"/>
    </xf>
    <xf numFmtId="4" fontId="10" fillId="24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4" borderId="33" xfId="5" applyNumberFormat="1" applyFont="1" applyFill="1" applyBorder="1" applyAlignment="1" applyProtection="1">
      <alignment horizontal="right" vertical="center" wrapText="1"/>
      <protection hidden="1"/>
    </xf>
    <xf numFmtId="0" fontId="11" fillId="20" borderId="33" xfId="5" applyFont="1" applyFill="1" applyBorder="1" applyAlignment="1" applyProtection="1">
      <alignment horizontal="center" vertical="center" wrapText="1"/>
      <protection hidden="1"/>
    </xf>
    <xf numFmtId="43" fontId="3" fillId="20" borderId="4" xfId="5" applyNumberFormat="1" applyFont="1" applyFill="1" applyBorder="1" applyAlignment="1" applyProtection="1">
      <alignment horizontal="left" vertical="center" wrapText="1"/>
      <protection hidden="1"/>
    </xf>
    <xf numFmtId="39" fontId="11" fillId="20" borderId="26" xfId="5" applyNumberFormat="1" applyFont="1" applyFill="1" applyBorder="1" applyAlignment="1" applyProtection="1">
      <alignment horizontal="right" vertical="center" wrapText="1"/>
      <protection hidden="1"/>
    </xf>
    <xf numFmtId="0" fontId="11" fillId="20" borderId="35" xfId="5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11" fillId="20" borderId="187" xfId="5" applyFont="1" applyFill="1" applyBorder="1" applyAlignment="1" applyProtection="1">
      <alignment horizontal="center" vertical="center"/>
      <protection hidden="1"/>
    </xf>
    <xf numFmtId="0" fontId="11" fillId="20" borderId="36" xfId="5" applyFont="1" applyFill="1" applyBorder="1" applyAlignment="1" applyProtection="1">
      <alignment horizontal="center" vertical="center"/>
      <protection hidden="1"/>
    </xf>
    <xf numFmtId="0" fontId="11" fillId="20" borderId="187" xfId="5" applyFont="1" applyFill="1" applyBorder="1" applyAlignment="1" applyProtection="1">
      <alignment horizontal="left" vertical="center" wrapText="1"/>
      <protection hidden="1"/>
    </xf>
    <xf numFmtId="0" fontId="11" fillId="20" borderId="188" xfId="5" applyFont="1" applyFill="1" applyBorder="1" applyAlignment="1" applyProtection="1">
      <alignment horizontal="left" vertical="center" wrapText="1"/>
      <protection hidden="1"/>
    </xf>
    <xf numFmtId="0" fontId="11" fillId="20" borderId="36" xfId="5" applyFont="1" applyFill="1" applyBorder="1" applyAlignment="1" applyProtection="1">
      <alignment horizontal="left" vertical="center" wrapText="1"/>
      <protection hidden="1"/>
    </xf>
    <xf numFmtId="0" fontId="11" fillId="20" borderId="37" xfId="5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11" fillId="20" borderId="15" xfId="5" applyFont="1" applyFill="1" applyBorder="1" applyAlignment="1" applyProtection="1">
      <alignment horizontal="center" vertical="center"/>
      <protection hidden="1"/>
    </xf>
    <xf numFmtId="0" fontId="11" fillId="20" borderId="13" xfId="5" applyFont="1" applyFill="1" applyBorder="1" applyAlignment="1" applyProtection="1">
      <alignment horizontal="center" vertical="center"/>
      <protection hidden="1"/>
    </xf>
    <xf numFmtId="0" fontId="11" fillId="20" borderId="15" xfId="5" applyFont="1" applyFill="1" applyBorder="1" applyAlignment="1" applyProtection="1">
      <alignment horizontal="left" vertical="center" wrapText="1"/>
      <protection hidden="1"/>
    </xf>
    <xf numFmtId="0" fontId="11" fillId="20" borderId="14" xfId="5" applyFont="1" applyFill="1" applyBorder="1" applyAlignment="1" applyProtection="1">
      <alignment horizontal="left" vertical="center" wrapText="1"/>
      <protection hidden="1"/>
    </xf>
    <xf numFmtId="0" fontId="11" fillId="20" borderId="13" xfId="5" applyFont="1" applyFill="1" applyBorder="1" applyAlignment="1" applyProtection="1">
      <alignment horizontal="left" vertical="center" wrapText="1"/>
      <protection hidden="1"/>
    </xf>
    <xf numFmtId="0" fontId="2" fillId="66" borderId="5" xfId="0" applyFont="1" applyFill="1" applyBorder="1" applyAlignment="1">
      <alignment vertical="center" wrapText="1"/>
    </xf>
    <xf numFmtId="0" fontId="2" fillId="66" borderId="6" xfId="0" applyFont="1" applyFill="1" applyBorder="1" applyAlignment="1">
      <alignment vertical="center" wrapText="1"/>
    </xf>
    <xf numFmtId="0" fontId="2" fillId="66" borderId="10" xfId="0" applyFont="1" applyFill="1" applyBorder="1" applyAlignment="1">
      <alignment vertical="center" wrapText="1"/>
    </xf>
    <xf numFmtId="0" fontId="2" fillId="66" borderId="11" xfId="0" applyFont="1" applyFill="1" applyBorder="1" applyAlignment="1">
      <alignment vertical="center" wrapText="1"/>
    </xf>
    <xf numFmtId="0" fontId="10" fillId="20" borderId="38" xfId="5" applyFont="1" applyFill="1" applyBorder="1" applyAlignment="1" applyProtection="1">
      <alignment horizontal="center" vertical="center" wrapText="1" shrinkToFit="1"/>
      <protection hidden="1"/>
    </xf>
    <xf numFmtId="0" fontId="10" fillId="20" borderId="5" xfId="5" applyFont="1" applyFill="1" applyBorder="1" applyAlignment="1" applyProtection="1">
      <alignment horizontal="center" vertical="center" wrapText="1" shrinkToFit="1"/>
      <protection hidden="1"/>
    </xf>
    <xf numFmtId="0" fontId="10" fillId="20" borderId="6" xfId="5" applyFont="1" applyFill="1" applyBorder="1" applyAlignment="1" applyProtection="1">
      <alignment horizontal="center" vertical="center" wrapText="1" shrinkToFit="1"/>
      <protection hidden="1"/>
    </xf>
    <xf numFmtId="0" fontId="0" fillId="0" borderId="39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" fontId="10" fillId="24" borderId="12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1" fillId="20" borderId="31" xfId="5" applyFont="1" applyFill="1" applyBorder="1" applyAlignment="1" applyProtection="1">
      <alignment horizontal="center" vertical="center" wrapText="1"/>
      <protection hidden="1"/>
    </xf>
    <xf numFmtId="0" fontId="3" fillId="23" borderId="33" xfId="5" applyFont="1" applyFill="1" applyBorder="1" applyAlignment="1" applyProtection="1">
      <alignment horizontal="center" vertical="center" wrapText="1"/>
      <protection hidden="1"/>
    </xf>
    <xf numFmtId="43" fontId="11" fillId="20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0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0" borderId="91" xfId="5" applyNumberFormat="1" applyFont="1" applyFill="1" applyBorder="1" applyAlignment="1" applyProtection="1">
      <alignment horizontal="center" vertical="center" wrapText="1"/>
      <protection hidden="1"/>
    </xf>
    <xf numFmtId="43" fontId="10" fillId="20" borderId="105" xfId="5" applyNumberFormat="1" applyFont="1" applyFill="1" applyBorder="1" applyAlignment="1" applyProtection="1">
      <alignment horizontal="center" vertical="center" wrapText="1"/>
      <protection hidden="1"/>
    </xf>
    <xf numFmtId="43" fontId="10" fillId="20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0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0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0" borderId="32" xfId="5" applyNumberFormat="1" applyFont="1" applyFill="1" applyBorder="1" applyAlignment="1" applyProtection="1">
      <alignment horizontal="center" vertical="center" wrapText="1"/>
      <protection hidden="1"/>
    </xf>
    <xf numFmtId="43" fontId="11" fillId="20" borderId="32" xfId="5" applyNumberFormat="1" applyFont="1" applyFill="1" applyBorder="1" applyAlignment="1" applyProtection="1">
      <alignment horizontal="center" vertical="center" wrapText="1"/>
      <protection hidden="1"/>
    </xf>
    <xf numFmtId="0" fontId="11" fillId="20" borderId="18" xfId="5" applyFont="1" applyFill="1" applyBorder="1" applyAlignment="1" applyProtection="1">
      <alignment horizontal="center" vertical="center"/>
      <protection hidden="1"/>
    </xf>
    <xf numFmtId="0" fontId="11" fillId="20" borderId="21" xfId="5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20" borderId="7" xfId="5" applyFont="1" applyFill="1" applyBorder="1" applyAlignment="1" applyProtection="1">
      <alignment horizontal="center" vertical="center"/>
      <protection hidden="1"/>
    </xf>
    <xf numFmtId="0" fontId="11" fillId="20" borderId="0" xfId="5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0" borderId="129" xfId="5" applyFont="1" applyFill="1" applyBorder="1" applyAlignment="1" applyProtection="1">
      <alignment horizontal="center" vertical="center" wrapText="1"/>
      <protection hidden="1"/>
    </xf>
    <xf numFmtId="0" fontId="5" fillId="20" borderId="112" xfId="5" applyFont="1" applyFill="1" applyBorder="1" applyAlignment="1" applyProtection="1">
      <alignment horizontal="center" vertical="center" wrapText="1"/>
      <protection hidden="1"/>
    </xf>
    <xf numFmtId="0" fontId="5" fillId="20" borderId="170" xfId="5" applyFont="1" applyFill="1" applyBorder="1" applyAlignment="1" applyProtection="1">
      <alignment horizontal="center" vertical="center" wrapText="1"/>
      <protection hidden="1"/>
    </xf>
    <xf numFmtId="0" fontId="5" fillId="20" borderId="116" xfId="5" applyFont="1" applyFill="1" applyBorder="1" applyAlignment="1" applyProtection="1">
      <alignment horizontal="center" vertical="center" wrapText="1"/>
      <protection hidden="1"/>
    </xf>
    <xf numFmtId="0" fontId="5" fillId="20" borderId="0" xfId="5" applyFont="1" applyFill="1" applyBorder="1" applyAlignment="1" applyProtection="1">
      <alignment horizontal="center" vertical="center" wrapText="1"/>
      <protection hidden="1"/>
    </xf>
    <xf numFmtId="0" fontId="5" fillId="20" borderId="24" xfId="5" applyFont="1" applyFill="1" applyBorder="1" applyAlignment="1" applyProtection="1">
      <alignment horizontal="center" vertical="center" wrapText="1"/>
      <protection hidden="1"/>
    </xf>
    <xf numFmtId="0" fontId="5" fillId="20" borderId="120" xfId="5" applyFont="1" applyFill="1" applyBorder="1" applyAlignment="1" applyProtection="1">
      <alignment horizontal="center" vertical="center" wrapText="1"/>
      <protection hidden="1"/>
    </xf>
    <xf numFmtId="0" fontId="5" fillId="20" borderId="121" xfId="5" applyFont="1" applyFill="1" applyBorder="1" applyAlignment="1" applyProtection="1">
      <alignment horizontal="center" vertical="center" wrapText="1"/>
      <protection hidden="1"/>
    </xf>
    <xf numFmtId="0" fontId="5" fillId="20" borderId="172" xfId="5" applyFont="1" applyFill="1" applyBorder="1" applyAlignment="1" applyProtection="1">
      <alignment horizontal="center" vertical="center" wrapText="1"/>
      <protection hidden="1"/>
    </xf>
    <xf numFmtId="4" fontId="10" fillId="25" borderId="84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8" xfId="5" applyNumberFormat="1" applyFont="1" applyFill="1" applyBorder="1" applyAlignment="1" applyProtection="1">
      <alignment horizontal="right" vertical="center"/>
      <protection hidden="1"/>
    </xf>
    <xf numFmtId="4" fontId="10" fillId="25" borderId="0" xfId="5" applyNumberFormat="1" applyFont="1" applyFill="1" applyBorder="1" applyAlignment="1" applyProtection="1">
      <alignment horizontal="right" vertical="center"/>
      <protection hidden="1"/>
    </xf>
    <xf numFmtId="0" fontId="61" fillId="23" borderId="105" xfId="5" applyFont="1" applyFill="1" applyBorder="1" applyAlignment="1" applyProtection="1">
      <alignment horizontal="center" vertical="center" wrapText="1"/>
      <protection hidden="1"/>
    </xf>
    <xf numFmtId="0" fontId="61" fillId="23" borderId="3" xfId="5" applyFont="1" applyFill="1" applyBorder="1" applyAlignment="1" applyProtection="1">
      <alignment horizontal="center" vertical="center" wrapText="1"/>
      <protection hidden="1"/>
    </xf>
    <xf numFmtId="43" fontId="10" fillId="20" borderId="82" xfId="5" applyNumberFormat="1" applyFont="1" applyFill="1" applyBorder="1" applyAlignment="1" applyProtection="1">
      <alignment horizontal="center" vertical="center" wrapText="1"/>
      <protection hidden="1"/>
    </xf>
    <xf numFmtId="43" fontId="10" fillId="20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0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0" borderId="105" xfId="5" applyFont="1" applyFill="1" applyBorder="1" applyAlignment="1" applyProtection="1">
      <alignment horizontal="center" vertical="center" wrapText="1"/>
      <protection hidden="1"/>
    </xf>
    <xf numFmtId="4" fontId="10" fillId="24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4" borderId="108" xfId="5" applyNumberFormat="1" applyFont="1" applyFill="1" applyBorder="1" applyAlignment="1" applyProtection="1">
      <alignment horizontal="right" vertical="center" wrapText="1"/>
      <protection hidden="1"/>
    </xf>
    <xf numFmtId="0" fontId="3" fillId="23" borderId="91" xfId="5" applyFont="1" applyFill="1" applyBorder="1" applyAlignment="1" applyProtection="1">
      <alignment horizontal="center" vertical="center" wrapText="1"/>
      <protection hidden="1"/>
    </xf>
    <xf numFmtId="0" fontId="10" fillId="20" borderId="1" xfId="5" applyFont="1" applyFill="1" applyBorder="1" applyAlignment="1" applyProtection="1">
      <alignment horizontal="center" vertical="center" wrapText="1"/>
      <protection hidden="1"/>
    </xf>
    <xf numFmtId="0" fontId="10" fillId="20" borderId="103" xfId="5" applyFont="1" applyFill="1" applyBorder="1" applyAlignment="1" applyProtection="1">
      <alignment horizontal="center" vertical="center" wrapText="1"/>
      <protection hidden="1"/>
    </xf>
    <xf numFmtId="43" fontId="10" fillId="20" borderId="91" xfId="5" applyNumberFormat="1" applyFont="1" applyFill="1" applyBorder="1" applyAlignment="1" applyProtection="1">
      <alignment horizontal="center" vertical="center" wrapText="1"/>
      <protection hidden="1"/>
    </xf>
    <xf numFmtId="43" fontId="3" fillId="20" borderId="29" xfId="5" applyNumberFormat="1" applyFont="1" applyFill="1" applyBorder="1" applyAlignment="1" applyProtection="1">
      <alignment horizontal="left" vertical="center" wrapText="1"/>
      <protection hidden="1"/>
    </xf>
    <xf numFmtId="43" fontId="3" fillId="20" borderId="24" xfId="5" applyNumberFormat="1" applyFont="1" applyFill="1" applyBorder="1" applyAlignment="1" applyProtection="1">
      <alignment horizontal="right" vertical="center" wrapText="1"/>
      <protection hidden="1"/>
    </xf>
    <xf numFmtId="43" fontId="3" fillId="20" borderId="34" xfId="5" applyNumberFormat="1" applyFont="1" applyFill="1" applyBorder="1" applyAlignment="1" applyProtection="1">
      <alignment horizontal="right" vertical="center" wrapText="1"/>
      <protection hidden="1"/>
    </xf>
    <xf numFmtId="43" fontId="11" fillId="20" borderId="7" xfId="5" applyNumberFormat="1" applyFont="1" applyFill="1" applyBorder="1" applyAlignment="1" applyProtection="1">
      <alignment horizontal="left" vertical="center" wrapText="1"/>
      <protection hidden="1"/>
    </xf>
    <xf numFmtId="43" fontId="11" fillId="20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0" borderId="29" xfId="5" applyNumberFormat="1" applyFont="1" applyFill="1" applyBorder="1" applyAlignment="1" applyProtection="1">
      <alignment horizontal="center" vertical="center" wrapText="1"/>
      <protection hidden="1"/>
    </xf>
    <xf numFmtId="43" fontId="11" fillId="20" borderId="24" xfId="5" applyNumberFormat="1" applyFont="1" applyFill="1" applyBorder="1" applyAlignment="1" applyProtection="1">
      <alignment horizontal="right" vertical="center" wrapText="1"/>
      <protection hidden="1"/>
    </xf>
    <xf numFmtId="43" fontId="11" fillId="20" borderId="34" xfId="5" applyNumberFormat="1" applyFont="1" applyFill="1" applyBorder="1" applyAlignment="1" applyProtection="1">
      <alignment horizontal="right" vertical="center" wrapText="1"/>
      <protection hidden="1"/>
    </xf>
    <xf numFmtId="43" fontId="11" fillId="20" borderId="4" xfId="5" applyNumberFormat="1" applyFont="1" applyFill="1" applyBorder="1" applyAlignment="1" applyProtection="1">
      <alignment horizontal="left" vertical="center" wrapText="1"/>
      <protection hidden="1"/>
    </xf>
    <xf numFmtId="4" fontId="11" fillId="20" borderId="2" xfId="5" applyNumberFormat="1" applyFont="1" applyFill="1" applyBorder="1" applyAlignment="1" applyProtection="1">
      <alignment horizontal="center" vertical="center" wrapText="1"/>
      <protection hidden="1"/>
    </xf>
    <xf numFmtId="4" fontId="10" fillId="25" borderId="20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2" xfId="5" applyNumberFormat="1" applyFont="1" applyFill="1" applyBorder="1" applyAlignment="1" applyProtection="1">
      <alignment horizontal="right" vertical="center" wrapText="1"/>
      <protection hidden="1"/>
    </xf>
    <xf numFmtId="39" fontId="11" fillId="20" borderId="0" xfId="5" applyNumberFormat="1" applyFont="1" applyFill="1" applyBorder="1" applyAlignment="1" applyProtection="1">
      <alignment horizontal="left" vertical="center" wrapText="1"/>
      <protection hidden="1"/>
    </xf>
    <xf numFmtId="39" fontId="10" fillId="20" borderId="21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0" borderId="10" xfId="5" applyNumberFormat="1" applyFont="1" applyFill="1" applyBorder="1" applyAlignment="1" applyProtection="1">
      <alignment horizontal="center" vertical="center" wrapText="1"/>
      <protection hidden="1"/>
    </xf>
    <xf numFmtId="4" fontId="10" fillId="24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4" borderId="32" xfId="5" applyNumberFormat="1" applyFont="1" applyFill="1" applyBorder="1" applyAlignment="1" applyProtection="1">
      <alignment horizontal="right" vertical="center" wrapText="1"/>
      <protection hidden="1"/>
    </xf>
    <xf numFmtId="0" fontId="3" fillId="23" borderId="2" xfId="5" applyFont="1" applyFill="1" applyBorder="1" applyAlignment="1" applyProtection="1">
      <alignment horizontal="center" vertical="center" wrapText="1"/>
      <protection hidden="1"/>
    </xf>
    <xf numFmtId="39" fontId="11" fillId="20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0" borderId="34" xfId="5" applyNumberFormat="1" applyFont="1" applyFill="1" applyBorder="1" applyAlignment="1" applyProtection="1">
      <alignment horizontal="right" vertical="center" wrapText="1"/>
      <protection hidden="1"/>
    </xf>
    <xf numFmtId="43" fontId="11" fillId="20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0" borderId="29" xfId="5" applyNumberFormat="1" applyFont="1" applyFill="1" applyBorder="1" applyAlignment="1" applyProtection="1">
      <alignment horizontal="left" vertical="center" wrapText="1"/>
      <protection hidden="1"/>
    </xf>
    <xf numFmtId="39" fontId="11" fillId="20" borderId="5" xfId="5" applyNumberFormat="1" applyFont="1" applyFill="1" applyBorder="1" applyAlignment="1" applyProtection="1">
      <alignment horizontal="left" vertical="center" wrapText="1"/>
      <protection hidden="1"/>
    </xf>
    <xf numFmtId="1" fontId="11" fillId="22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2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2" borderId="32" xfId="5" applyNumberFormat="1" applyFont="1" applyFill="1" applyBorder="1" applyProtection="1">
      <protection hidden="1"/>
    </xf>
    <xf numFmtId="0" fontId="10" fillId="22" borderId="12" xfId="5" applyFont="1" applyFill="1" applyBorder="1" applyAlignment="1" applyProtection="1">
      <alignment horizontal="center" vertical="center" wrapText="1"/>
      <protection hidden="1"/>
    </xf>
    <xf numFmtId="0" fontId="10" fillId="22" borderId="32" xfId="5" applyFont="1" applyFill="1" applyBorder="1" applyAlignment="1" applyProtection="1">
      <alignment horizontal="center" vertical="center" wrapText="1"/>
      <protection hidden="1"/>
    </xf>
    <xf numFmtId="4" fontId="10" fillId="22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2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2" borderId="32" xfId="5" applyNumberFormat="1" applyFont="1" applyFill="1" applyBorder="1" applyAlignment="1" applyProtection="1">
      <alignment horizontal="center" vertical="center" wrapText="1"/>
      <protection hidden="1"/>
    </xf>
    <xf numFmtId="1" fontId="11" fillId="22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2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2" borderId="29" xfId="5" applyNumberFormat="1" applyFont="1" applyFill="1" applyBorder="1" applyProtection="1">
      <protection hidden="1"/>
    </xf>
    <xf numFmtId="0" fontId="10" fillId="20" borderId="5" xfId="5" applyFont="1" applyFill="1" applyBorder="1" applyAlignment="1" applyProtection="1">
      <alignment horizontal="center" vertical="center" wrapText="1"/>
      <protection hidden="1"/>
    </xf>
    <xf numFmtId="0" fontId="10" fillId="20" borderId="6" xfId="5" applyFont="1" applyFill="1" applyBorder="1" applyAlignment="1" applyProtection="1">
      <alignment horizontal="center" vertical="center" wrapText="1"/>
      <protection hidden="1"/>
    </xf>
    <xf numFmtId="0" fontId="10" fillId="20" borderId="39" xfId="5" applyFont="1" applyFill="1" applyBorder="1" applyAlignment="1" applyProtection="1">
      <alignment horizontal="center" vertical="center" wrapText="1"/>
      <protection hidden="1"/>
    </xf>
    <xf numFmtId="0" fontId="10" fillId="20" borderId="0" xfId="5" applyFont="1" applyFill="1" applyBorder="1" applyAlignment="1" applyProtection="1">
      <alignment horizontal="center" vertical="center" wrapText="1"/>
      <protection hidden="1"/>
    </xf>
    <xf numFmtId="0" fontId="10" fillId="20" borderId="8" xfId="5" applyFont="1" applyFill="1" applyBorder="1" applyAlignment="1" applyProtection="1">
      <alignment horizontal="center" vertical="center" wrapText="1"/>
      <protection hidden="1"/>
    </xf>
    <xf numFmtId="0" fontId="10" fillId="20" borderId="40" xfId="5" applyFont="1" applyFill="1" applyBorder="1" applyAlignment="1" applyProtection="1">
      <alignment horizontal="center" vertical="center" wrapText="1"/>
      <protection hidden="1"/>
    </xf>
    <xf numFmtId="0" fontId="10" fillId="20" borderId="10" xfId="5" applyFont="1" applyFill="1" applyBorder="1" applyAlignment="1" applyProtection="1">
      <alignment horizontal="center" vertical="center" wrapText="1"/>
      <protection hidden="1"/>
    </xf>
    <xf numFmtId="0" fontId="10" fillId="20" borderId="11" xfId="5" applyFont="1" applyFill="1" applyBorder="1" applyAlignment="1" applyProtection="1">
      <alignment horizontal="center" vertical="center" wrapText="1"/>
      <protection hidden="1"/>
    </xf>
    <xf numFmtId="0" fontId="11" fillId="22" borderId="4" xfId="5" applyFont="1" applyFill="1" applyBorder="1" applyAlignment="1" applyProtection="1">
      <alignment horizontal="center" vertical="center" wrapText="1"/>
      <protection hidden="1"/>
    </xf>
    <xf numFmtId="0" fontId="11" fillId="22" borderId="26" xfId="5" applyFont="1" applyFill="1" applyBorder="1" applyAlignment="1" applyProtection="1">
      <alignment horizontal="center" vertical="center" wrapText="1"/>
      <protection hidden="1"/>
    </xf>
    <xf numFmtId="0" fontId="11" fillId="22" borderId="7" xfId="5" applyFont="1" applyFill="1" applyBorder="1" applyAlignment="1" applyProtection="1">
      <alignment horizontal="center" vertical="center" wrapText="1"/>
      <protection hidden="1"/>
    </xf>
    <xf numFmtId="0" fontId="11" fillId="22" borderId="24" xfId="5" applyFont="1" applyFill="1" applyBorder="1" applyAlignment="1" applyProtection="1">
      <alignment horizontal="center" vertical="center" wrapText="1"/>
      <protection hidden="1"/>
    </xf>
    <xf numFmtId="0" fontId="11" fillId="22" borderId="29" xfId="5" applyFont="1" applyFill="1" applyBorder="1" applyAlignment="1" applyProtection="1">
      <alignment horizontal="center" vertical="center" wrapText="1"/>
      <protection hidden="1"/>
    </xf>
    <xf numFmtId="0" fontId="11" fillId="22" borderId="34" xfId="5" applyFont="1" applyFill="1" applyBorder="1" applyAlignment="1" applyProtection="1">
      <alignment horizontal="center" vertical="center" wrapText="1"/>
      <protection hidden="1"/>
    </xf>
    <xf numFmtId="0" fontId="14" fillId="22" borderId="38" xfId="5" applyFont="1" applyFill="1" applyBorder="1" applyAlignment="1" applyProtection="1">
      <alignment horizontal="center" vertical="center" wrapText="1"/>
      <protection hidden="1"/>
    </xf>
    <xf numFmtId="0" fontId="14" fillId="22" borderId="6" xfId="5" applyFont="1" applyFill="1" applyBorder="1" applyAlignment="1" applyProtection="1">
      <alignment horizontal="center" vertical="center" wrapText="1"/>
      <protection hidden="1"/>
    </xf>
    <xf numFmtId="0" fontId="14" fillId="22" borderId="40" xfId="5" applyFont="1" applyFill="1" applyBorder="1" applyAlignment="1" applyProtection="1">
      <alignment horizontal="center" vertical="center" wrapText="1"/>
      <protection hidden="1"/>
    </xf>
    <xf numFmtId="0" fontId="14" fillId="22" borderId="11" xfId="5" applyFont="1" applyFill="1" applyBorder="1" applyAlignment="1" applyProtection="1">
      <alignment horizontal="center" vertical="center" wrapText="1"/>
      <protection hidden="1"/>
    </xf>
    <xf numFmtId="0" fontId="14" fillId="22" borderId="4" xfId="5" applyFont="1" applyFill="1" applyBorder="1" applyAlignment="1" applyProtection="1">
      <alignment horizontal="center" vertical="center" wrapText="1"/>
      <protection hidden="1"/>
    </xf>
    <xf numFmtId="0" fontId="14" fillId="22" borderId="9" xfId="5" applyFont="1" applyFill="1" applyBorder="1" applyAlignment="1" applyProtection="1">
      <alignment horizontal="center" vertical="center" wrapText="1"/>
      <protection hidden="1"/>
    </xf>
    <xf numFmtId="0" fontId="14" fillId="22" borderId="5" xfId="5" applyFont="1" applyFill="1" applyBorder="1" applyAlignment="1" applyProtection="1">
      <alignment horizontal="center" vertical="center" wrapText="1"/>
      <protection hidden="1"/>
    </xf>
    <xf numFmtId="0" fontId="14" fillId="22" borderId="10" xfId="5" applyFont="1" applyFill="1" applyBorder="1" applyAlignment="1" applyProtection="1">
      <alignment horizontal="center" vertical="center" wrapText="1"/>
      <protection hidden="1"/>
    </xf>
    <xf numFmtId="0" fontId="11" fillId="22" borderId="3" xfId="5" applyFont="1" applyFill="1" applyBorder="1" applyAlignment="1" applyProtection="1">
      <alignment horizontal="center" vertical="center" wrapText="1"/>
      <protection hidden="1"/>
    </xf>
    <xf numFmtId="0" fontId="11" fillId="22" borderId="12" xfId="5" applyFont="1" applyFill="1" applyBorder="1" applyProtection="1">
      <protection hidden="1"/>
    </xf>
    <xf numFmtId="0" fontId="11" fillId="22" borderId="32" xfId="5" applyFont="1" applyFill="1" applyBorder="1" applyProtection="1">
      <protection hidden="1"/>
    </xf>
    <xf numFmtId="0" fontId="11" fillId="22" borderId="12" xfId="5" applyFont="1" applyFill="1" applyBorder="1" applyAlignment="1" applyProtection="1">
      <alignment horizontal="center" vertical="center" wrapText="1"/>
      <protection hidden="1"/>
    </xf>
    <xf numFmtId="0" fontId="11" fillId="22" borderId="32" xfId="5" applyFont="1" applyFill="1" applyBorder="1" applyAlignment="1" applyProtection="1">
      <alignment horizontal="center" vertical="center" wrapText="1"/>
      <protection hidden="1"/>
    </xf>
    <xf numFmtId="0" fontId="10" fillId="22" borderId="38" xfId="5" applyFont="1" applyFill="1" applyBorder="1" applyAlignment="1" applyProtection="1">
      <alignment horizontal="center" vertical="center" wrapText="1"/>
      <protection hidden="1"/>
    </xf>
    <xf numFmtId="0" fontId="10" fillId="22" borderId="5" xfId="5" applyFont="1" applyFill="1" applyBorder="1" applyAlignment="1" applyProtection="1">
      <alignment horizontal="center" vertical="center" wrapText="1"/>
      <protection hidden="1"/>
    </xf>
    <xf numFmtId="0" fontId="10" fillId="22" borderId="6" xfId="5" applyFont="1" applyFill="1" applyBorder="1" applyAlignment="1" applyProtection="1">
      <alignment horizontal="center" vertical="center" wrapText="1"/>
      <protection hidden="1"/>
    </xf>
    <xf numFmtId="0" fontId="10" fillId="22" borderId="39" xfId="5" applyFont="1" applyFill="1" applyBorder="1" applyAlignment="1" applyProtection="1">
      <alignment horizontal="center" vertical="center" wrapText="1"/>
      <protection hidden="1"/>
    </xf>
    <xf numFmtId="0" fontId="10" fillId="22" borderId="0" xfId="5" applyFont="1" applyFill="1" applyBorder="1" applyAlignment="1" applyProtection="1">
      <alignment horizontal="center" vertical="center" wrapText="1"/>
      <protection hidden="1"/>
    </xf>
    <xf numFmtId="0" fontId="10" fillId="22" borderId="8" xfId="5" applyFont="1" applyFill="1" applyBorder="1" applyAlignment="1" applyProtection="1">
      <alignment horizontal="center" vertical="center" wrapText="1"/>
      <protection hidden="1"/>
    </xf>
    <xf numFmtId="0" fontId="10" fillId="22" borderId="40" xfId="5" applyFont="1" applyFill="1" applyBorder="1" applyAlignment="1" applyProtection="1">
      <alignment horizontal="center" vertical="center" wrapText="1"/>
      <protection hidden="1"/>
    </xf>
    <xf numFmtId="0" fontId="10" fillId="22" borderId="10" xfId="5" applyFont="1" applyFill="1" applyBorder="1" applyAlignment="1" applyProtection="1">
      <alignment horizontal="center" vertical="center" wrapText="1"/>
      <protection hidden="1"/>
    </xf>
    <xf numFmtId="0" fontId="10" fillId="22" borderId="11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23" fillId="0" borderId="0" xfId="5" applyFont="1" applyBorder="1" applyAlignment="1" applyProtection="1">
      <alignment horizontal="center" vertical="center" wrapText="1"/>
      <protection hidden="1"/>
    </xf>
    <xf numFmtId="0" fontId="10" fillId="22" borderId="35" xfId="5" applyFont="1" applyFill="1" applyBorder="1" applyAlignment="1" applyProtection="1">
      <alignment horizontal="center" vertical="center" wrapText="1"/>
      <protection hidden="1"/>
    </xf>
    <xf numFmtId="0" fontId="10" fillId="22" borderId="37" xfId="5" applyFont="1" applyFill="1" applyBorder="1" applyAlignment="1" applyProtection="1">
      <alignment horizontal="center" vertical="center" wrapText="1"/>
      <protection hidden="1"/>
    </xf>
    <xf numFmtId="0" fontId="10" fillId="22" borderId="41" xfId="5" applyFont="1" applyFill="1" applyBorder="1" applyAlignment="1" applyProtection="1">
      <alignment horizontal="center" vertical="center" wrapText="1"/>
      <protection hidden="1"/>
    </xf>
    <xf numFmtId="0" fontId="14" fillId="22" borderId="16" xfId="5" applyFont="1" applyFill="1" applyBorder="1" applyAlignment="1" applyProtection="1">
      <alignment horizontal="center" vertical="center" wrapText="1"/>
      <protection hidden="1"/>
    </xf>
    <xf numFmtId="0" fontId="14" fillId="22" borderId="17" xfId="5" applyFont="1" applyFill="1" applyBorder="1" applyAlignment="1" applyProtection="1">
      <alignment horizontal="center" vertical="center" wrapText="1"/>
      <protection hidden="1"/>
    </xf>
    <xf numFmtId="0" fontId="14" fillId="22" borderId="23" xfId="5" applyFont="1" applyFill="1" applyBorder="1" applyAlignment="1" applyProtection="1">
      <alignment horizontal="center" vertical="center" wrapText="1"/>
      <protection hidden="1"/>
    </xf>
    <xf numFmtId="0" fontId="14" fillId="22" borderId="1" xfId="5" applyFont="1" applyFill="1" applyBorder="1" applyAlignment="1" applyProtection="1">
      <alignment horizontal="center" vertical="center" wrapText="1"/>
      <protection hidden="1"/>
    </xf>
    <xf numFmtId="0" fontId="10" fillId="22" borderId="18" xfId="5" applyFont="1" applyFill="1" applyBorder="1" applyAlignment="1" applyProtection="1">
      <alignment horizontal="center" vertical="center" wrapText="1"/>
      <protection hidden="1"/>
    </xf>
    <xf numFmtId="0" fontId="10" fillId="22" borderId="19" xfId="5" applyFont="1" applyFill="1" applyBorder="1" applyAlignment="1" applyProtection="1">
      <alignment horizontal="center" vertical="center" wrapText="1"/>
      <protection hidden="1"/>
    </xf>
    <xf numFmtId="0" fontId="10" fillId="22" borderId="7" xfId="5" applyFont="1" applyFill="1" applyBorder="1" applyAlignment="1" applyProtection="1">
      <alignment horizontal="center" vertical="center" wrapText="1"/>
      <protection hidden="1"/>
    </xf>
    <xf numFmtId="0" fontId="10" fillId="22" borderId="9" xfId="5" applyFont="1" applyFill="1" applyBorder="1" applyAlignment="1" applyProtection="1">
      <alignment horizontal="center" vertical="center" wrapText="1"/>
      <protection hidden="1"/>
    </xf>
    <xf numFmtId="0" fontId="10" fillId="22" borderId="21" xfId="5" applyFont="1" applyFill="1" applyBorder="1" applyAlignment="1" applyProtection="1">
      <alignment horizontal="center" vertical="center" wrapText="1"/>
      <protection hidden="1"/>
    </xf>
    <xf numFmtId="0" fontId="11" fillId="22" borderId="21" xfId="5" applyFont="1" applyFill="1" applyBorder="1" applyProtection="1">
      <protection hidden="1"/>
    </xf>
    <xf numFmtId="0" fontId="11" fillId="22" borderId="22" xfId="5" applyFont="1" applyFill="1" applyBorder="1" applyProtection="1">
      <protection hidden="1"/>
    </xf>
    <xf numFmtId="0" fontId="11" fillId="22" borderId="7" xfId="5" applyFont="1" applyFill="1" applyBorder="1" applyProtection="1">
      <protection hidden="1"/>
    </xf>
    <xf numFmtId="0" fontId="11" fillId="22" borderId="0" xfId="5" applyFont="1" applyFill="1" applyBorder="1" applyProtection="1">
      <protection hidden="1"/>
    </xf>
    <xf numFmtId="0" fontId="11" fillId="22" borderId="24" xfId="5" applyFont="1" applyFill="1" applyBorder="1" applyProtection="1">
      <protection hidden="1"/>
    </xf>
    <xf numFmtId="0" fontId="11" fillId="22" borderId="9" xfId="5" applyFont="1" applyFill="1" applyBorder="1" applyProtection="1">
      <protection hidden="1"/>
    </xf>
    <xf numFmtId="0" fontId="11" fillId="22" borderId="10" xfId="5" applyFont="1" applyFill="1" applyBorder="1" applyProtection="1">
      <protection hidden="1"/>
    </xf>
    <xf numFmtId="0" fontId="11" fillId="22" borderId="25" xfId="5" applyFont="1" applyFill="1" applyBorder="1" applyProtection="1">
      <protection hidden="1"/>
    </xf>
    <xf numFmtId="0" fontId="10" fillId="22" borderId="42" xfId="5" applyFont="1" applyFill="1" applyBorder="1" applyAlignment="1" applyProtection="1">
      <alignment horizontal="center" vertical="center" wrapText="1"/>
      <protection hidden="1"/>
    </xf>
    <xf numFmtId="0" fontId="10" fillId="22" borderId="30" xfId="5" applyFont="1" applyFill="1" applyBorder="1" applyAlignment="1" applyProtection="1">
      <alignment horizontal="center" vertical="center" wrapText="1"/>
      <protection hidden="1"/>
    </xf>
    <xf numFmtId="0" fontId="10" fillId="22" borderId="31" xfId="5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horizontal="left" vertical="center" wrapText="1"/>
    </xf>
    <xf numFmtId="0" fontId="45" fillId="2" borderId="148" xfId="3" applyFont="1" applyFill="1" applyBorder="1" applyAlignment="1">
      <alignment horizontal="center" vertical="center"/>
    </xf>
    <xf numFmtId="0" fontId="37" fillId="2" borderId="148" xfId="2" applyFill="1" applyBorder="1" applyAlignment="1">
      <alignment horizontal="center" vertical="center"/>
    </xf>
    <xf numFmtId="0" fontId="39" fillId="2" borderId="144" xfId="2" applyFont="1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4" fontId="39" fillId="2" borderId="148" xfId="2" applyNumberFormat="1" applyFont="1" applyFill="1" applyBorder="1" applyAlignment="1">
      <alignment horizontal="right" vertical="center"/>
    </xf>
    <xf numFmtId="4" fontId="37" fillId="2" borderId="148" xfId="2" applyNumberFormat="1" applyFill="1" applyBorder="1" applyAlignment="1">
      <alignment horizontal="right" vertical="center"/>
    </xf>
    <xf numFmtId="4" fontId="39" fillId="2" borderId="148" xfId="3" applyNumberFormat="1" applyFont="1" applyFill="1" applyBorder="1" applyAlignment="1">
      <alignment horizontal="right" vertical="center"/>
    </xf>
    <xf numFmtId="0" fontId="45" fillId="2" borderId="144" xfId="3" applyFont="1" applyFill="1" applyBorder="1" applyAlignment="1">
      <alignment horizontal="center" vertical="center"/>
    </xf>
    <xf numFmtId="0" fontId="37" fillId="2" borderId="144" xfId="2" applyFill="1" applyBorder="1" applyAlignment="1">
      <alignment horizontal="center" vertical="center"/>
    </xf>
    <xf numFmtId="4" fontId="39" fillId="2" borderId="144" xfId="2" applyNumberFormat="1" applyFont="1" applyFill="1" applyBorder="1" applyAlignment="1">
      <alignment horizontal="right" vertical="center"/>
    </xf>
    <xf numFmtId="4" fontId="37" fillId="2" borderId="144" xfId="2" applyNumberFormat="1" applyFill="1" applyBorder="1" applyAlignment="1">
      <alignment horizontal="right" vertical="center"/>
    </xf>
    <xf numFmtId="4" fontId="39" fillId="2" borderId="144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39" fillId="2" borderId="145" xfId="2" applyFont="1" applyFill="1" applyBorder="1" applyAlignment="1">
      <alignment horizontal="center" vertical="center"/>
    </xf>
    <xf numFmtId="0" fontId="39" fillId="2" borderId="146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3" xfId="3" applyFont="1" applyFill="1" applyBorder="1" applyAlignment="1">
      <alignment horizontal="center" vertical="center"/>
    </xf>
    <xf numFmtId="0" fontId="37" fillId="2" borderId="143" xfId="2" applyFill="1" applyBorder="1" applyAlignment="1">
      <alignment horizontal="center" vertical="center"/>
    </xf>
    <xf numFmtId="0" fontId="39" fillId="2" borderId="143" xfId="2" applyFont="1" applyFill="1" applyBorder="1" applyAlignment="1">
      <alignment horizontal="center" vertical="center"/>
    </xf>
    <xf numFmtId="4" fontId="39" fillId="2" borderId="143" xfId="2" applyNumberFormat="1" applyFont="1" applyFill="1" applyBorder="1" applyAlignment="1">
      <alignment horizontal="right" vertical="center"/>
    </xf>
    <xf numFmtId="4" fontId="37" fillId="2" borderId="143" xfId="2" applyNumberFormat="1" applyFill="1" applyBorder="1" applyAlignment="1">
      <alignment horizontal="right" vertical="center"/>
    </xf>
    <xf numFmtId="4" fontId="39" fillId="2" borderId="143" xfId="3" applyNumberFormat="1" applyFont="1" applyFill="1" applyBorder="1" applyAlignment="1">
      <alignment horizontal="right" vertical="center"/>
    </xf>
    <xf numFmtId="0" fontId="45" fillId="3" borderId="144" xfId="3" applyFont="1" applyFill="1" applyBorder="1" applyAlignment="1">
      <alignment horizontal="center" vertical="center"/>
    </xf>
    <xf numFmtId="0" fontId="37" fillId="3" borderId="144" xfId="2" applyFill="1" applyBorder="1" applyAlignment="1">
      <alignment horizontal="center" vertical="center"/>
    </xf>
    <xf numFmtId="0" fontId="39" fillId="3" borderId="144" xfId="2" applyFont="1" applyFill="1" applyBorder="1" applyAlignment="1">
      <alignment horizontal="center" vertical="center"/>
    </xf>
    <xf numFmtId="4" fontId="39" fillId="3" borderId="144" xfId="2" applyNumberFormat="1" applyFont="1" applyFill="1" applyBorder="1" applyAlignment="1">
      <alignment horizontal="right" vertical="center"/>
    </xf>
    <xf numFmtId="4" fontId="37" fillId="3" borderId="144" xfId="2" applyNumberFormat="1" applyFill="1" applyBorder="1" applyAlignment="1">
      <alignment horizontal="right" vertical="center"/>
    </xf>
    <xf numFmtId="4" fontId="39" fillId="3" borderId="144" xfId="3" applyNumberFormat="1" applyFont="1" applyFill="1" applyBorder="1" applyAlignment="1">
      <alignment horizontal="right" vertical="center"/>
    </xf>
    <xf numFmtId="0" fontId="39" fillId="3" borderId="145" xfId="2" applyFont="1" applyFill="1" applyBorder="1" applyAlignment="1">
      <alignment horizontal="center" vertical="center"/>
    </xf>
    <xf numFmtId="0" fontId="39" fillId="3" borderId="146" xfId="2" applyFont="1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43" fontId="15" fillId="51" borderId="12" xfId="0" applyNumberFormat="1" applyFont="1" applyFill="1" applyBorder="1" applyAlignment="1">
      <alignment horizontal="center" vertical="center" wrapText="1"/>
    </xf>
    <xf numFmtId="43" fontId="15" fillId="51" borderId="91" xfId="0" applyNumberFormat="1" applyFont="1" applyFill="1" applyBorder="1" applyAlignment="1">
      <alignment horizontal="center" vertical="center" wrapText="1"/>
    </xf>
    <xf numFmtId="43" fontId="15" fillId="51" borderId="55" xfId="0" applyNumberFormat="1" applyFont="1" applyFill="1" applyBorder="1" applyAlignment="1">
      <alignment horizontal="center" vertical="center" wrapText="1"/>
    </xf>
    <xf numFmtId="0" fontId="15" fillId="51" borderId="3" xfId="0" applyFont="1" applyFill="1" applyBorder="1" applyAlignment="1">
      <alignment horizontal="center" vertical="center" wrapText="1"/>
    </xf>
    <xf numFmtId="0" fontId="15" fillId="51" borderId="12" xfId="0" applyFont="1" applyFill="1" applyBorder="1" applyAlignment="1">
      <alignment horizontal="center" vertical="center" wrapText="1"/>
    </xf>
    <xf numFmtId="0" fontId="15" fillId="51" borderId="91" xfId="0" applyFont="1" applyFill="1" applyBorder="1" applyAlignment="1">
      <alignment horizontal="center" vertical="center" wrapText="1"/>
    </xf>
    <xf numFmtId="43" fontId="15" fillId="51" borderId="3" xfId="0" applyNumberFormat="1" applyFont="1" applyFill="1" applyBorder="1" applyAlignment="1">
      <alignment horizontal="center" vertical="center" wrapText="1"/>
    </xf>
    <xf numFmtId="43" fontId="15" fillId="51" borderId="53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53" xfId="0" applyBorder="1"/>
    <xf numFmtId="43" fontId="14" fillId="51" borderId="105" xfId="0" applyNumberFormat="1" applyFont="1" applyFill="1" applyBorder="1" applyAlignment="1">
      <alignment horizontal="center" vertical="center" wrapText="1"/>
    </xf>
    <xf numFmtId="43" fontId="14" fillId="51" borderId="1" xfId="0" applyNumberFormat="1" applyFont="1" applyFill="1" applyBorder="1" applyAlignment="1">
      <alignment horizontal="center" vertical="center" wrapText="1"/>
    </xf>
    <xf numFmtId="43" fontId="15" fillId="51" borderId="115" xfId="0" applyNumberFormat="1" applyFont="1" applyFill="1" applyBorder="1" applyAlignment="1">
      <alignment horizontal="center" vertical="center" wrapText="1"/>
    </xf>
    <xf numFmtId="43" fontId="15" fillId="51" borderId="171" xfId="0" applyNumberFormat="1" applyFont="1" applyFill="1" applyBorder="1" applyAlignment="1">
      <alignment horizontal="center" vertical="center" wrapText="1"/>
    </xf>
    <xf numFmtId="43" fontId="15" fillId="51" borderId="175" xfId="0" applyNumberFormat="1" applyFont="1" applyFill="1" applyBorder="1" applyAlignment="1">
      <alignment horizontal="center" vertical="center" wrapText="1"/>
    </xf>
    <xf numFmtId="43" fontId="15" fillId="51" borderId="52" xfId="0" applyNumberFormat="1" applyFont="1" applyFill="1" applyBorder="1" applyAlignment="1">
      <alignment horizontal="center" vertical="center" wrapText="1"/>
    </xf>
    <xf numFmtId="43" fontId="14" fillId="64" borderId="1" xfId="0" applyNumberFormat="1" applyFont="1" applyFill="1" applyBorder="1" applyAlignment="1">
      <alignment horizontal="center" vertical="center" wrapText="1"/>
    </xf>
    <xf numFmtId="43" fontId="14" fillId="64" borderId="103" xfId="0" applyNumberFormat="1" applyFont="1" applyFill="1" applyBorder="1" applyAlignment="1">
      <alignment horizontal="center" vertical="center" wrapText="1"/>
    </xf>
    <xf numFmtId="43" fontId="15" fillId="51" borderId="176" xfId="0" applyNumberFormat="1" applyFont="1" applyFill="1" applyBorder="1" applyAlignment="1">
      <alignment horizontal="center" vertical="center" wrapText="1"/>
    </xf>
    <xf numFmtId="43" fontId="15" fillId="51" borderId="94" xfId="0" applyNumberFormat="1" applyFont="1" applyFill="1" applyBorder="1" applyAlignment="1">
      <alignment horizontal="center" vertical="center" wrapText="1"/>
    </xf>
    <xf numFmtId="43" fontId="14" fillId="51" borderId="106" xfId="0" applyNumberFormat="1" applyFont="1" applyFill="1" applyBorder="1" applyAlignment="1">
      <alignment horizontal="center" vertical="center" wrapText="1"/>
    </xf>
    <xf numFmtId="43" fontId="14" fillId="51" borderId="102" xfId="0" applyNumberFormat="1" applyFont="1" applyFill="1" applyBorder="1" applyAlignment="1">
      <alignment horizontal="center" vertical="center" wrapText="1"/>
    </xf>
    <xf numFmtId="43" fontId="14" fillId="62" borderId="82" xfId="0" applyNumberFormat="1" applyFont="1" applyFill="1" applyBorder="1" applyAlignment="1">
      <alignment horizontal="center" vertical="center" wrapText="1"/>
    </xf>
    <xf numFmtId="43" fontId="14" fillId="62" borderId="12" xfId="0" applyNumberFormat="1" applyFont="1" applyFill="1" applyBorder="1" applyAlignment="1">
      <alignment horizontal="center" vertical="center"/>
    </xf>
    <xf numFmtId="0" fontId="14" fillId="63" borderId="105" xfId="0" applyFont="1" applyFill="1" applyBorder="1" applyAlignment="1">
      <alignment horizontal="center" vertical="center" wrapText="1"/>
    </xf>
    <xf numFmtId="0" fontId="14" fillId="63" borderId="1" xfId="0" applyFont="1" applyFill="1" applyBorder="1" applyAlignment="1">
      <alignment horizontal="center" vertical="center" wrapText="1"/>
    </xf>
    <xf numFmtId="0" fontId="15" fillId="63" borderId="3" xfId="0" applyFont="1" applyFill="1" applyBorder="1" applyAlignment="1">
      <alignment horizontal="center" vertical="center" wrapText="1"/>
    </xf>
    <xf numFmtId="0" fontId="15" fillId="63" borderId="12" xfId="0" applyFont="1" applyFill="1" applyBorder="1" applyAlignment="1">
      <alignment horizontal="center" vertical="center" wrapText="1"/>
    </xf>
    <xf numFmtId="0" fontId="15" fillId="63" borderId="91" xfId="0" applyFont="1" applyFill="1" applyBorder="1" applyAlignment="1">
      <alignment horizontal="center" vertical="center" wrapText="1"/>
    </xf>
    <xf numFmtId="0" fontId="15" fillId="51" borderId="13" xfId="0" applyFont="1" applyFill="1" applyBorder="1" applyAlignment="1">
      <alignment horizontal="center" vertical="center" wrapText="1"/>
    </xf>
    <xf numFmtId="0" fontId="15" fillId="51" borderId="1" xfId="0" applyFont="1" applyFill="1" applyBorder="1" applyAlignment="1">
      <alignment horizontal="center" vertical="center" wrapText="1"/>
    </xf>
    <xf numFmtId="0" fontId="15" fillId="51" borderId="6" xfId="0" applyFont="1" applyFill="1" applyBorder="1" applyAlignment="1">
      <alignment horizontal="center" vertical="center" wrapText="1"/>
    </xf>
    <xf numFmtId="0" fontId="14" fillId="51" borderId="104" xfId="0" applyFont="1" applyFill="1" applyBorder="1" applyAlignment="1">
      <alignment horizontal="center" vertical="center" wrapText="1"/>
    </xf>
    <xf numFmtId="0" fontId="14" fillId="51" borderId="101" xfId="0" applyFont="1" applyFill="1" applyBorder="1" applyAlignment="1">
      <alignment horizontal="center" vertical="center" wrapText="1"/>
    </xf>
    <xf numFmtId="0" fontId="14" fillId="51" borderId="118" xfId="0" applyFont="1" applyFill="1" applyBorder="1" applyAlignment="1">
      <alignment horizontal="center" vertical="center" wrapText="1"/>
    </xf>
    <xf numFmtId="0" fontId="14" fillId="51" borderId="107" xfId="0" applyFont="1" applyFill="1" applyBorder="1" applyAlignment="1">
      <alignment horizontal="center" vertical="center" wrapText="1"/>
    </xf>
    <xf numFmtId="0" fontId="14" fillId="51" borderId="96" xfId="0" applyFont="1" applyFill="1" applyBorder="1" applyAlignment="1">
      <alignment horizontal="center" vertical="center" wrapText="1"/>
    </xf>
    <xf numFmtId="0" fontId="15" fillId="51" borderId="113" xfId="0" applyFont="1" applyFill="1" applyBorder="1" applyAlignment="1">
      <alignment horizontal="center" vertical="center"/>
    </xf>
    <xf numFmtId="0" fontId="15" fillId="51" borderId="105" xfId="0" applyFont="1" applyFill="1" applyBorder="1" applyAlignment="1">
      <alignment horizontal="center" vertical="center"/>
    </xf>
    <xf numFmtId="0" fontId="15" fillId="51" borderId="13" xfId="0" applyFont="1" applyFill="1" applyBorder="1" applyAlignment="1">
      <alignment horizontal="center" vertical="center"/>
    </xf>
    <xf numFmtId="0" fontId="15" fillId="51" borderId="1" xfId="0" applyFont="1" applyFill="1" applyBorder="1" applyAlignment="1">
      <alignment horizontal="center" vertical="center"/>
    </xf>
    <xf numFmtId="0" fontId="15" fillId="0" borderId="105" xfId="0" applyFont="1" applyFill="1" applyBorder="1" applyAlignment="1">
      <alignment horizontal="left" vertical="center" wrapText="1"/>
    </xf>
    <xf numFmtId="0" fontId="15" fillId="51" borderId="82" xfId="0" applyFont="1" applyFill="1" applyBorder="1" applyAlignment="1">
      <alignment horizontal="center" vertical="center" wrapText="1"/>
    </xf>
    <xf numFmtId="0" fontId="15" fillId="51" borderId="8" xfId="0" applyFont="1" applyFill="1" applyBorder="1" applyAlignment="1">
      <alignment horizontal="center" vertical="center" wrapText="1"/>
    </xf>
    <xf numFmtId="0" fontId="14" fillId="51" borderId="7" xfId="0" applyFont="1" applyFill="1" applyBorder="1" applyAlignment="1">
      <alignment horizontal="center" vertical="center" wrapText="1" shrinkToFit="1"/>
    </xf>
    <xf numFmtId="0" fontId="14" fillId="51" borderId="0" xfId="0" applyFont="1" applyFill="1" applyBorder="1" applyAlignment="1">
      <alignment horizontal="center" vertical="center" wrapText="1" shrinkToFit="1"/>
    </xf>
    <xf numFmtId="0" fontId="14" fillId="51" borderId="8" xfId="0" applyFont="1" applyFill="1" applyBorder="1" applyAlignment="1">
      <alignment horizontal="center" vertical="center" wrapText="1" shrinkToFit="1"/>
    </xf>
    <xf numFmtId="0" fontId="14" fillId="51" borderId="92" xfId="0" applyFont="1" applyFill="1" applyBorder="1" applyAlignment="1">
      <alignment horizontal="center" vertical="center" wrapText="1" shrinkToFit="1"/>
    </xf>
    <xf numFmtId="0" fontId="14" fillId="51" borderId="121" xfId="0" applyFont="1" applyFill="1" applyBorder="1" applyAlignment="1">
      <alignment horizontal="center" vertical="center" wrapText="1" shrinkToFit="1"/>
    </xf>
    <xf numFmtId="0" fontId="14" fillId="51" borderId="93" xfId="0" applyFont="1" applyFill="1" applyBorder="1" applyAlignment="1">
      <alignment horizontal="center" vertical="center" wrapText="1" shrinkToFit="1"/>
    </xf>
    <xf numFmtId="43" fontId="15" fillId="0" borderId="3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3" fontId="14" fillId="51" borderId="135" xfId="0" applyNumberFormat="1" applyFont="1" applyFill="1" applyBorder="1" applyAlignment="1">
      <alignment horizontal="center" vertical="center" wrapText="1"/>
    </xf>
    <xf numFmtId="43" fontId="14" fillId="51" borderId="51" xfId="0" applyNumberFormat="1" applyFont="1" applyFill="1" applyBorder="1" applyAlignment="1">
      <alignment horizontal="center" vertical="center" wrapText="1"/>
    </xf>
    <xf numFmtId="0" fontId="15" fillId="51" borderId="2" xfId="0" applyFont="1" applyFill="1" applyBorder="1" applyAlignment="1">
      <alignment horizontal="center" vertical="center" wrapText="1"/>
    </xf>
    <xf numFmtId="43" fontId="14" fillId="64" borderId="3" xfId="0" applyNumberFormat="1" applyFont="1" applyFill="1" applyBorder="1" applyAlignment="1">
      <alignment horizontal="center" vertical="center" wrapText="1"/>
    </xf>
    <xf numFmtId="43" fontId="14" fillId="64" borderId="12" xfId="0" applyNumberFormat="1" applyFont="1" applyFill="1" applyBorder="1" applyAlignment="1">
      <alignment horizontal="center" vertical="center" wrapText="1"/>
    </xf>
    <xf numFmtId="43" fontId="14" fillId="64" borderId="9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43" fontId="15" fillId="51" borderId="32" xfId="0" applyNumberFormat="1" applyFont="1" applyFill="1" applyBorder="1" applyAlignment="1">
      <alignment horizontal="center" vertical="center" wrapText="1"/>
    </xf>
    <xf numFmtId="43" fontId="14" fillId="51" borderId="17" xfId="0" applyNumberFormat="1" applyFont="1" applyFill="1" applyBorder="1" applyAlignment="1">
      <alignment horizontal="center" vertical="center" wrapText="1"/>
    </xf>
    <xf numFmtId="0" fontId="14" fillId="51" borderId="129" xfId="0" applyFont="1" applyFill="1" applyBorder="1" applyAlignment="1">
      <alignment horizontal="center" vertical="center" wrapText="1"/>
    </xf>
    <xf numFmtId="0" fontId="14" fillId="51" borderId="112" xfId="0" applyFont="1" applyFill="1" applyBorder="1" applyAlignment="1">
      <alignment horizontal="center" vertical="center" wrapText="1"/>
    </xf>
    <xf numFmtId="0" fontId="14" fillId="51" borderId="84" xfId="0" applyFont="1" applyFill="1" applyBorder="1" applyAlignment="1">
      <alignment horizontal="center" vertical="center" wrapText="1"/>
    </xf>
    <xf numFmtId="0" fontId="14" fillId="51" borderId="116" xfId="0" applyFont="1" applyFill="1" applyBorder="1" applyAlignment="1">
      <alignment horizontal="center" vertical="center" wrapText="1"/>
    </xf>
    <xf numFmtId="0" fontId="14" fillId="51" borderId="0" xfId="0" applyFont="1" applyFill="1" applyBorder="1" applyAlignment="1">
      <alignment horizontal="center" vertical="center" wrapText="1"/>
    </xf>
    <xf numFmtId="0" fontId="14" fillId="51" borderId="8" xfId="0" applyFont="1" applyFill="1" applyBorder="1" applyAlignment="1">
      <alignment horizontal="center" vertical="center" wrapText="1"/>
    </xf>
    <xf numFmtId="0" fontId="14" fillId="51" borderId="120" xfId="0" applyFont="1" applyFill="1" applyBorder="1" applyAlignment="1">
      <alignment horizontal="center" vertical="center" wrapText="1"/>
    </xf>
    <xf numFmtId="0" fontId="14" fillId="51" borderId="121" xfId="0" applyFont="1" applyFill="1" applyBorder="1" applyAlignment="1">
      <alignment horizontal="center" vertical="center" wrapText="1"/>
    </xf>
    <xf numFmtId="0" fontId="14" fillId="51" borderId="93" xfId="0" applyFont="1" applyFill="1" applyBorder="1" applyAlignment="1">
      <alignment horizontal="center" vertical="center" wrapText="1"/>
    </xf>
    <xf numFmtId="0" fontId="15" fillId="51" borderId="20" xfId="0" applyFont="1" applyFill="1" applyBorder="1" applyAlignment="1">
      <alignment horizontal="center" vertical="center" wrapText="1"/>
    </xf>
    <xf numFmtId="39" fontId="14" fillId="51" borderId="50" xfId="0" applyNumberFormat="1" applyFont="1" applyFill="1" applyBorder="1" applyAlignment="1">
      <alignment horizontal="center" vertical="center" wrapText="1"/>
    </xf>
    <xf numFmtId="39" fontId="14" fillId="51" borderId="51" xfId="0" applyNumberFormat="1" applyFont="1" applyFill="1" applyBorder="1" applyAlignment="1">
      <alignment horizontal="center" vertical="center" wrapText="1"/>
    </xf>
    <xf numFmtId="166" fontId="15" fillId="51" borderId="47" xfId="0" applyNumberFormat="1" applyFont="1" applyFill="1" applyBorder="1" applyAlignment="1">
      <alignment horizontal="center" vertical="center" wrapText="1"/>
    </xf>
    <xf numFmtId="166" fontId="15" fillId="51" borderId="48" xfId="0" applyNumberFormat="1" applyFont="1" applyFill="1" applyBorder="1" applyAlignment="1">
      <alignment horizontal="center" vertical="center" wrapText="1"/>
    </xf>
    <xf numFmtId="166" fontId="15" fillId="51" borderId="49" xfId="0" applyNumberFormat="1" applyFont="1" applyFill="1" applyBorder="1" applyAlignment="1">
      <alignment horizontal="center" vertical="center" wrapText="1"/>
    </xf>
    <xf numFmtId="39" fontId="14" fillId="51" borderId="106" xfId="0" applyNumberFormat="1" applyFont="1" applyFill="1" applyBorder="1" applyAlignment="1">
      <alignment horizontal="center" vertical="center" wrapText="1"/>
    </xf>
    <xf numFmtId="39" fontId="14" fillId="51" borderId="102" xfId="0" applyNumberFormat="1" applyFont="1" applyFill="1" applyBorder="1" applyAlignment="1">
      <alignment horizontal="center" vertical="center" wrapText="1"/>
    </xf>
    <xf numFmtId="0" fontId="15" fillId="51" borderId="32" xfId="0" applyFont="1" applyFill="1" applyBorder="1" applyAlignment="1">
      <alignment horizontal="center" vertical="center" wrapText="1"/>
    </xf>
    <xf numFmtId="166" fontId="15" fillId="51" borderId="115" xfId="0" applyNumberFormat="1" applyFont="1" applyFill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15" fillId="63" borderId="32" xfId="0" applyFont="1" applyFill="1" applyBorder="1" applyAlignment="1">
      <alignment horizontal="center" vertical="center" wrapText="1"/>
    </xf>
    <xf numFmtId="0" fontId="14" fillId="51" borderId="16" xfId="0" applyFont="1" applyFill="1" applyBorder="1" applyAlignment="1">
      <alignment horizontal="center" vertical="center" wrapText="1"/>
    </xf>
    <xf numFmtId="0" fontId="14" fillId="51" borderId="23" xfId="0" applyFont="1" applyFill="1" applyBorder="1" applyAlignment="1">
      <alignment horizontal="center" vertical="center" wrapText="1"/>
    </xf>
    <xf numFmtId="0" fontId="14" fillId="51" borderId="38" xfId="0" applyFont="1" applyFill="1" applyBorder="1" applyAlignment="1">
      <alignment horizontal="center" vertical="center" wrapText="1"/>
    </xf>
    <xf numFmtId="0" fontId="14" fillId="51" borderId="27" xfId="0" applyFont="1" applyFill="1" applyBorder="1" applyAlignment="1">
      <alignment horizontal="center" vertical="center" wrapText="1"/>
    </xf>
    <xf numFmtId="0" fontId="14" fillId="51" borderId="28" xfId="0" applyFont="1" applyFill="1" applyBorder="1" applyAlignment="1">
      <alignment horizontal="center" vertical="center" wrapText="1"/>
    </xf>
    <xf numFmtId="0" fontId="15" fillId="51" borderId="36" xfId="0" applyFont="1" applyFill="1" applyBorder="1" applyAlignment="1">
      <alignment horizontal="center" vertical="center"/>
    </xf>
    <xf numFmtId="0" fontId="15" fillId="51" borderId="17" xfId="0" applyFont="1" applyFill="1" applyBorder="1" applyAlignment="1">
      <alignment horizontal="center" vertical="center"/>
    </xf>
    <xf numFmtId="43" fontId="14" fillId="62" borderId="20" xfId="0" applyNumberFormat="1" applyFont="1" applyFill="1" applyBorder="1" applyAlignment="1">
      <alignment horizontal="center" vertical="center" wrapText="1"/>
    </xf>
    <xf numFmtId="0" fontId="14" fillId="63" borderId="17" xfId="0" applyFont="1" applyFill="1" applyBorder="1" applyAlignment="1">
      <alignment horizontal="center" vertical="center" wrapText="1"/>
    </xf>
    <xf numFmtId="0" fontId="14" fillId="51" borderId="29" xfId="0" applyFont="1" applyFill="1" applyBorder="1" applyAlignment="1">
      <alignment horizontal="center" vertical="center" wrapText="1" shrinkToFit="1"/>
    </xf>
    <xf numFmtId="0" fontId="14" fillId="51" borderId="30" xfId="0" applyFont="1" applyFill="1" applyBorder="1" applyAlignment="1">
      <alignment horizontal="center" vertical="center" wrapText="1" shrinkToFit="1"/>
    </xf>
    <xf numFmtId="0" fontId="14" fillId="51" borderId="31" xfId="0" applyFont="1" applyFill="1" applyBorder="1" applyAlignment="1">
      <alignment horizontal="center" vertical="center" wrapText="1" shrinkToFit="1"/>
    </xf>
    <xf numFmtId="43" fontId="14" fillId="64" borderId="33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29" xfId="0" applyFont="1" applyFill="1" applyBorder="1"/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2" xfId="0" applyFont="1" applyFill="1" applyBorder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2" xfId="0" applyFont="1" applyFill="1" applyBorder="1"/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5" fillId="5" borderId="21" xfId="0" applyFont="1" applyFill="1" applyBorder="1"/>
    <xf numFmtId="0" fontId="15" fillId="5" borderId="22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4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5" xfId="0" applyFont="1" applyFill="1" applyBorder="1"/>
    <xf numFmtId="0" fontId="15" fillId="5" borderId="47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166" fontId="15" fillId="51" borderId="3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2" xfId="0" applyBorder="1" applyAlignment="1"/>
    <xf numFmtId="0" fontId="38" fillId="2" borderId="0" xfId="0" applyFont="1" applyFill="1" applyAlignment="1">
      <alignment horizontal="left" vertical="center" indent="4"/>
    </xf>
    <xf numFmtId="0" fontId="39" fillId="2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4" xfId="0" applyFill="1" applyBorder="1" applyAlignment="1">
      <alignment horizontal="center" vertical="center"/>
    </xf>
    <xf numFmtId="0" fontId="39" fillId="2" borderId="145" xfId="0" applyFont="1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39" fillId="2" borderId="147" xfId="0" applyFont="1" applyFill="1" applyBorder="1" applyAlignment="1">
      <alignment horizontal="center" vertical="center"/>
    </xf>
    <xf numFmtId="0" fontId="39" fillId="2" borderId="144" xfId="0" applyFont="1" applyFill="1" applyBorder="1" applyAlignment="1">
      <alignment horizontal="center" vertical="center"/>
    </xf>
    <xf numFmtId="4" fontId="39" fillId="2" borderId="144" xfId="0" applyNumberFormat="1" applyFont="1" applyFill="1" applyBorder="1" applyAlignment="1">
      <alignment horizontal="right" vertical="center"/>
    </xf>
    <xf numFmtId="4" fontId="0" fillId="2" borderId="144" xfId="0" applyNumberFormat="1" applyFill="1" applyBorder="1" applyAlignment="1">
      <alignment horizontal="right" vertical="center"/>
    </xf>
    <xf numFmtId="0" fontId="0" fillId="2" borderId="143" xfId="0" applyFill="1" applyBorder="1" applyAlignment="1">
      <alignment horizontal="center" vertical="center"/>
    </xf>
    <xf numFmtId="0" fontId="39" fillId="2" borderId="143" xfId="0" applyFont="1" applyFill="1" applyBorder="1" applyAlignment="1">
      <alignment horizontal="center" vertical="center"/>
    </xf>
    <xf numFmtId="4" fontId="39" fillId="2" borderId="143" xfId="0" applyNumberFormat="1" applyFont="1" applyFill="1" applyBorder="1" applyAlignment="1">
      <alignment horizontal="right" vertical="center"/>
    </xf>
    <xf numFmtId="4" fontId="0" fillId="2" borderId="143" xfId="0" applyNumberForma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5" fillId="66" borderId="144" xfId="3" applyFont="1" applyFill="1" applyBorder="1" applyAlignment="1">
      <alignment horizontal="center" vertical="center"/>
    </xf>
    <xf numFmtId="0" fontId="0" fillId="66" borderId="144" xfId="0" applyFill="1" applyBorder="1" applyAlignment="1">
      <alignment horizontal="center" vertical="center"/>
    </xf>
    <xf numFmtId="0" fontId="39" fillId="66" borderId="144" xfId="0" applyFont="1" applyFill="1" applyBorder="1" applyAlignment="1">
      <alignment horizontal="center" vertical="center"/>
    </xf>
    <xf numFmtId="4" fontId="39" fillId="66" borderId="144" xfId="0" applyNumberFormat="1" applyFont="1" applyFill="1" applyBorder="1" applyAlignment="1">
      <alignment horizontal="right" vertical="center"/>
    </xf>
    <xf numFmtId="4" fontId="0" fillId="66" borderId="144" xfId="0" applyNumberFormat="1" applyFill="1" applyBorder="1" applyAlignment="1">
      <alignment horizontal="right" vertical="center"/>
    </xf>
    <xf numFmtId="4" fontId="39" fillId="66" borderId="144" xfId="3" applyNumberFormat="1" applyFont="1" applyFill="1" applyBorder="1" applyAlignment="1">
      <alignment horizontal="right" vertical="center"/>
    </xf>
    <xf numFmtId="0" fontId="39" fillId="2" borderId="148" xfId="0" applyFont="1" applyFill="1" applyBorder="1" applyAlignment="1">
      <alignment horizontal="center" vertical="center"/>
    </xf>
    <xf numFmtId="0" fontId="39" fillId="51" borderId="144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4" fontId="39" fillId="2" borderId="15" xfId="0" applyNumberFormat="1" applyFont="1" applyFill="1" applyBorder="1" applyAlignment="1">
      <alignment horizontal="right" vertical="center"/>
    </xf>
    <xf numFmtId="4" fontId="37" fillId="2" borderId="14" xfId="0" applyNumberFormat="1" applyFont="1" applyFill="1" applyBorder="1" applyAlignment="1">
      <alignment horizontal="right" vertical="center"/>
    </xf>
    <xf numFmtId="4" fontId="37" fillId="2" borderId="13" xfId="0" applyNumberFormat="1" applyFont="1" applyFill="1" applyBorder="1" applyAlignment="1">
      <alignment horizontal="right" vertical="center"/>
    </xf>
    <xf numFmtId="4" fontId="39" fillId="2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4" fontId="39" fillId="2" borderId="148" xfId="0" applyNumberFormat="1" applyFont="1" applyFill="1" applyBorder="1" applyAlignment="1">
      <alignment horizontal="right" vertical="center"/>
    </xf>
    <xf numFmtId="4" fontId="0" fillId="2" borderId="148" xfId="0" applyNumberFormat="1" applyFill="1" applyBorder="1" applyAlignment="1">
      <alignment horizontal="right" vertical="center"/>
    </xf>
    <xf numFmtId="0" fontId="10" fillId="68" borderId="38" xfId="5" applyFont="1" applyFill="1" applyBorder="1" applyAlignment="1" applyProtection="1">
      <alignment horizontal="center" vertical="center" wrapText="1"/>
      <protection hidden="1"/>
    </xf>
    <xf numFmtId="0" fontId="10" fillId="68" borderId="5" xfId="5" applyFont="1" applyFill="1" applyBorder="1" applyAlignment="1" applyProtection="1">
      <alignment horizontal="center" vertical="center" wrapText="1"/>
      <protection hidden="1"/>
    </xf>
    <xf numFmtId="0" fontId="2" fillId="69" borderId="5" xfId="0" applyFont="1" applyFill="1" applyBorder="1" applyAlignment="1">
      <alignment vertical="center" wrapText="1"/>
    </xf>
    <xf numFmtId="0" fontId="2" fillId="69" borderId="6" xfId="0" applyFont="1" applyFill="1" applyBorder="1" applyAlignment="1">
      <alignment vertical="center" wrapText="1"/>
    </xf>
    <xf numFmtId="0" fontId="10" fillId="68" borderId="40" xfId="5" applyFont="1" applyFill="1" applyBorder="1" applyAlignment="1" applyProtection="1">
      <alignment horizontal="center" vertical="center" wrapText="1"/>
      <protection hidden="1"/>
    </xf>
    <xf numFmtId="0" fontId="10" fillId="68" borderId="10" xfId="5" applyFont="1" applyFill="1" applyBorder="1" applyAlignment="1" applyProtection="1">
      <alignment horizontal="center" vertical="center" wrapText="1"/>
      <protection hidden="1"/>
    </xf>
    <xf numFmtId="0" fontId="2" fillId="69" borderId="10" xfId="0" applyFont="1" applyFill="1" applyBorder="1" applyAlignment="1">
      <alignment vertical="center" wrapText="1"/>
    </xf>
    <xf numFmtId="0" fontId="2" fillId="69" borderId="11" xfId="0" applyFont="1" applyFill="1" applyBorder="1" applyAlignment="1">
      <alignment vertical="center" wrapText="1"/>
    </xf>
    <xf numFmtId="0" fontId="10" fillId="68" borderId="6" xfId="5" applyFont="1" applyFill="1" applyBorder="1" applyAlignment="1" applyProtection="1">
      <alignment horizontal="center" vertical="center" wrapText="1"/>
      <protection hidden="1"/>
    </xf>
    <xf numFmtId="0" fontId="10" fillId="68" borderId="39" xfId="5" applyFont="1" applyFill="1" applyBorder="1" applyAlignment="1" applyProtection="1">
      <alignment horizontal="center" vertical="center" wrapText="1"/>
      <protection hidden="1"/>
    </xf>
    <xf numFmtId="0" fontId="10" fillId="68" borderId="0" xfId="5" applyFont="1" applyFill="1" applyBorder="1" applyAlignment="1" applyProtection="1">
      <alignment horizontal="center" vertical="center" wrapText="1"/>
      <protection hidden="1"/>
    </xf>
    <xf numFmtId="0" fontId="10" fillId="68" borderId="8" xfId="5" applyFont="1" applyFill="1" applyBorder="1" applyAlignment="1" applyProtection="1">
      <alignment horizontal="center" vertical="center" wrapText="1"/>
      <protection hidden="1"/>
    </xf>
    <xf numFmtId="0" fontId="10" fillId="68" borderId="11" xfId="5" applyFont="1" applyFill="1" applyBorder="1" applyAlignment="1" applyProtection="1">
      <alignment horizontal="center" vertical="center" wrapText="1"/>
      <protection hidden="1"/>
    </xf>
    <xf numFmtId="0" fontId="11" fillId="20" borderId="4" xfId="5" applyFont="1" applyFill="1" applyBorder="1" applyAlignment="1" applyProtection="1">
      <alignment horizontal="center" vertical="center" wrapText="1"/>
      <protection hidden="1"/>
    </xf>
    <xf numFmtId="0" fontId="11" fillId="20" borderId="5" xfId="5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20" borderId="9" xfId="5" applyFont="1" applyFill="1" applyBorder="1" applyAlignment="1" applyProtection="1">
      <alignment horizontal="center" vertical="center" wrapText="1"/>
      <protection hidden="1"/>
    </xf>
    <xf numFmtId="0" fontId="11" fillId="20" borderId="10" xfId="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20" borderId="18" xfId="5" applyFont="1" applyFill="1" applyBorder="1" applyAlignment="1" applyProtection="1">
      <alignment horizontal="center" vertical="center" wrapText="1"/>
      <protection hidden="1"/>
    </xf>
    <xf numFmtId="0" fontId="11" fillId="20" borderId="21" xfId="5" applyFont="1" applyFill="1" applyBorder="1" applyAlignment="1" applyProtection="1">
      <alignment horizontal="center" vertical="center" wrapText="1"/>
      <protection hidden="1"/>
    </xf>
    <xf numFmtId="0" fontId="11" fillId="20" borderId="19" xfId="5" applyFont="1" applyFill="1" applyBorder="1" applyAlignment="1" applyProtection="1">
      <alignment horizontal="center" vertical="center" wrapText="1"/>
      <protection hidden="1"/>
    </xf>
    <xf numFmtId="0" fontId="11" fillId="20" borderId="7" xfId="5" applyFont="1" applyFill="1" applyBorder="1" applyAlignment="1" applyProtection="1">
      <alignment horizontal="center" vertical="center" wrapText="1"/>
      <protection hidden="1"/>
    </xf>
    <xf numFmtId="0" fontId="11" fillId="20" borderId="0" xfId="5" applyFont="1" applyFill="1" applyBorder="1" applyAlignment="1" applyProtection="1">
      <alignment horizontal="center" vertical="center" wrapText="1"/>
      <protection hidden="1"/>
    </xf>
    <xf numFmtId="0" fontId="11" fillId="20" borderId="11" xfId="5" applyFont="1" applyFill="1" applyBorder="1" applyAlignment="1" applyProtection="1">
      <alignment horizontal="center" vertical="center" wrapText="1"/>
      <protection hidden="1"/>
    </xf>
    <xf numFmtId="0" fontId="10" fillId="64" borderId="1" xfId="0" applyFont="1" applyFill="1" applyBorder="1" applyAlignment="1" applyProtection="1">
      <alignment horizontal="center" vertical="center" wrapText="1"/>
      <protection hidden="1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5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99FF"/>
      <color rgb="FFEEDDFF"/>
      <color rgb="FFFFF3F3"/>
      <color rgb="FFCDFFBD"/>
      <color rgb="FFEBF2DE"/>
      <color rgb="FFFFCCFF"/>
      <color rgb="FF660066"/>
      <color rgb="FFB0FF97"/>
      <color rgb="FFFF57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177799</xdr:colOff>
      <xdr:row>0</xdr:row>
      <xdr:rowOff>142875</xdr:rowOff>
    </xdr:from>
    <xdr:to>
      <xdr:col>7</xdr:col>
      <xdr:colOff>76200</xdr:colOff>
      <xdr:row>2</xdr:row>
      <xdr:rowOff>438150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399" y="142875"/>
          <a:ext cx="64611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n/Budzet/FN-118/2012/Bud&#380;et/Projekt%20bud&#380;etu/Wieloletnia%20Prognoza%20Finansowa/harmon.zobow.i%20d&#322;ugustycze&#324;%202012%20do%20W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1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U67"/>
  <sheetViews>
    <sheetView view="pageBreakPreview" topLeftCell="A16" zoomScale="85" zoomScaleSheetLayoutView="85" workbookViewId="0">
      <selection activeCell="G33" sqref="G33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6" width="1.7109375" style="76" customWidth="1"/>
    <col min="7" max="17" width="17.7109375" style="76" customWidth="1"/>
    <col min="18" max="21" width="17.7109375" customWidth="1"/>
    <col min="22" max="22" width="2.42578125" customWidth="1"/>
  </cols>
  <sheetData>
    <row r="1" spans="2:21">
      <c r="M1" s="1256" t="s">
        <v>435</v>
      </c>
      <c r="N1" s="1256"/>
      <c r="O1" s="1256"/>
      <c r="P1" s="1256"/>
      <c r="Q1" s="1256"/>
    </row>
    <row r="2" spans="2:21"/>
    <row r="3" spans="2:21" ht="35.25">
      <c r="B3" s="1257" t="s">
        <v>409</v>
      </c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</row>
    <row r="4" spans="2:21" ht="13.5" thickBot="1"/>
    <row r="5" spans="2:21" ht="14.25" thickTop="1" thickBot="1">
      <c r="B5" s="1258" t="s">
        <v>187</v>
      </c>
      <c r="C5" s="1260" t="s">
        <v>0</v>
      </c>
      <c r="D5" s="1260" t="s">
        <v>188</v>
      </c>
      <c r="E5" s="1260" t="s">
        <v>189</v>
      </c>
      <c r="F5" s="1262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834"/>
      <c r="T5" s="834"/>
      <c r="U5" s="684"/>
    </row>
    <row r="6" spans="2:21" ht="13.5" thickTop="1">
      <c r="B6" s="1259"/>
      <c r="C6" s="1261"/>
      <c r="D6" s="1261"/>
      <c r="E6" s="1261"/>
      <c r="F6" s="77">
        <v>2012</v>
      </c>
      <c r="G6" s="864">
        <f t="shared" ref="G6:Q6" si="0">F6+1</f>
        <v>2013</v>
      </c>
      <c r="H6" s="865">
        <f t="shared" si="0"/>
        <v>2014</v>
      </c>
      <c r="I6" s="865">
        <f t="shared" si="0"/>
        <v>2015</v>
      </c>
      <c r="J6" s="865">
        <f t="shared" si="0"/>
        <v>2016</v>
      </c>
      <c r="K6" s="865">
        <f t="shared" si="0"/>
        <v>2017</v>
      </c>
      <c r="L6" s="865">
        <f t="shared" si="0"/>
        <v>2018</v>
      </c>
      <c r="M6" s="865">
        <f t="shared" si="0"/>
        <v>2019</v>
      </c>
      <c r="N6" s="865">
        <f t="shared" si="0"/>
        <v>2020</v>
      </c>
      <c r="O6" s="865">
        <f t="shared" si="0"/>
        <v>2021</v>
      </c>
      <c r="P6" s="865">
        <f t="shared" si="0"/>
        <v>2022</v>
      </c>
      <c r="Q6" s="865">
        <f t="shared" si="0"/>
        <v>2023</v>
      </c>
      <c r="R6" s="865">
        <f>Q6+1</f>
        <v>2024</v>
      </c>
      <c r="S6" s="865">
        <f>R6+1</f>
        <v>2025</v>
      </c>
      <c r="T6" s="865">
        <v>2026</v>
      </c>
      <c r="U6" s="865">
        <v>2027</v>
      </c>
    </row>
    <row r="7" spans="2:21">
      <c r="B7" s="78"/>
      <c r="C7" s="79"/>
      <c r="D7" s="79"/>
      <c r="E7" s="79"/>
      <c r="F7" s="80"/>
      <c r="G7" s="81"/>
      <c r="H7" s="82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77"/>
    </row>
    <row r="8" spans="2:21" ht="32.25" customHeight="1">
      <c r="B8" s="85">
        <v>1</v>
      </c>
      <c r="C8" s="860" t="s">
        <v>421</v>
      </c>
      <c r="D8" s="479">
        <v>0</v>
      </c>
      <c r="E8" s="479"/>
      <c r="F8" s="480">
        <f t="shared" ref="F8" si="1">SUM(F9:F24)</f>
        <v>2210961</v>
      </c>
      <c r="G8" s="481">
        <f>SUM(G9:G25)</f>
        <v>10640096</v>
      </c>
      <c r="H8" s="481">
        <f t="shared" ref="H8:U8" si="2">SUM(H9:H25)</f>
        <v>16690465</v>
      </c>
      <c r="I8" s="481">
        <f t="shared" si="2"/>
        <v>15676471</v>
      </c>
      <c r="J8" s="481">
        <f t="shared" si="2"/>
        <v>14132194</v>
      </c>
      <c r="K8" s="481">
        <f t="shared" si="2"/>
        <v>12617230</v>
      </c>
      <c r="L8" s="481">
        <f t="shared" si="2"/>
        <v>11153261</v>
      </c>
      <c r="M8" s="481">
        <f t="shared" si="2"/>
        <v>9786110</v>
      </c>
      <c r="N8" s="481">
        <f t="shared" si="2"/>
        <v>8439302</v>
      </c>
      <c r="O8" s="481">
        <f t="shared" si="2"/>
        <v>7092494</v>
      </c>
      <c r="P8" s="481">
        <f t="shared" si="2"/>
        <v>5745686</v>
      </c>
      <c r="Q8" s="481">
        <f t="shared" si="2"/>
        <v>4398878</v>
      </c>
      <c r="R8" s="481">
        <f t="shared" si="2"/>
        <v>3052070</v>
      </c>
      <c r="S8" s="481">
        <f t="shared" ref="S8:T8" si="3">SUM(S9:S25)</f>
        <v>1705262</v>
      </c>
      <c r="T8" s="481">
        <f t="shared" si="3"/>
        <v>852630</v>
      </c>
      <c r="U8" s="481">
        <f t="shared" si="2"/>
        <v>0</v>
      </c>
    </row>
    <row r="9" spans="2:21" ht="18" hidden="1" customHeight="1" thickTop="1" thickBot="1">
      <c r="B9" s="880"/>
      <c r="C9" s="850" t="s">
        <v>191</v>
      </c>
      <c r="D9" s="482">
        <v>518029</v>
      </c>
      <c r="E9" s="490">
        <v>2004</v>
      </c>
      <c r="F9" s="484">
        <f>'HSZ do złotówek'!AW14</f>
        <v>57557</v>
      </c>
      <c r="G9" s="485">
        <f>'HSZ do złotówek'!AZ14</f>
        <v>0</v>
      </c>
      <c r="H9" s="482">
        <f>'HSZ do złotówek'!BC14</f>
        <v>0</v>
      </c>
      <c r="I9" s="486">
        <f>'HSZ do złotówek'!BF14</f>
        <v>0</v>
      </c>
      <c r="J9" s="482">
        <f>'HSZ do złotówek'!BI14</f>
        <v>0</v>
      </c>
      <c r="K9" s="482">
        <f>'HSZ do złotówek'!BL14</f>
        <v>0</v>
      </c>
      <c r="L9" s="482">
        <f>'HSZ do złotówek'!BO14</f>
        <v>0</v>
      </c>
      <c r="M9" s="482">
        <f>'HSZ do złotówek'!BR14</f>
        <v>0</v>
      </c>
      <c r="N9" s="482">
        <f>'HSZ do złotówek'!BU14</f>
        <v>0</v>
      </c>
      <c r="O9" s="482">
        <f>'HSZ do złotówek'!BX14</f>
        <v>0</v>
      </c>
      <c r="P9" s="482">
        <f>'HSZ do złotówek'!CA14</f>
        <v>0</v>
      </c>
      <c r="Q9" s="482">
        <f>'HSZ do złotówek'!CD14</f>
        <v>0</v>
      </c>
      <c r="R9" s="482">
        <f>'HSZ do złotówek'!CG14</f>
        <v>0</v>
      </c>
      <c r="S9" s="482">
        <f>'HSZ do złotówek'!CF14</f>
        <v>0</v>
      </c>
      <c r="T9" s="482">
        <f>'HSZ do złotówek'!CG14</f>
        <v>0</v>
      </c>
      <c r="U9" s="482">
        <f>'HSZ do złotówek'!CH14</f>
        <v>0</v>
      </c>
    </row>
    <row r="10" spans="2:21" ht="23.25" customHeight="1">
      <c r="B10" s="866" t="s">
        <v>14</v>
      </c>
      <c r="C10" s="89" t="s">
        <v>192</v>
      </c>
      <c r="D10" s="482">
        <v>1498996</v>
      </c>
      <c r="E10" s="490">
        <v>2005</v>
      </c>
      <c r="F10" s="484">
        <f>'HSZ do złotówek'!AW15</f>
        <v>599536</v>
      </c>
      <c r="G10" s="485">
        <f>'HSZ do złotówek'!AZ15</f>
        <v>399656</v>
      </c>
      <c r="H10" s="482">
        <f>'HSZ do złotówek'!BC15</f>
        <v>199776</v>
      </c>
      <c r="I10" s="486">
        <f>'HSZ do złotówek'!BF15</f>
        <v>0</v>
      </c>
      <c r="J10" s="482">
        <f>'HSZ do złotówek'!BI15</f>
        <v>0</v>
      </c>
      <c r="K10" s="482">
        <f>'HSZ do złotówek'!BL15</f>
        <v>0</v>
      </c>
      <c r="L10" s="482">
        <f>'HSZ do złotówek'!BO15</f>
        <v>0</v>
      </c>
      <c r="M10" s="482">
        <f>'HSZ do złotówek'!BR15</f>
        <v>0</v>
      </c>
      <c r="N10" s="482">
        <f>'HSZ do złotówek'!BU15</f>
        <v>0</v>
      </c>
      <c r="O10" s="482">
        <f>'HSZ do złotówek'!BX15</f>
        <v>0</v>
      </c>
      <c r="P10" s="482">
        <f>'HSZ do złotówek'!CA15</f>
        <v>0</v>
      </c>
      <c r="Q10" s="482">
        <f>'HSZ do złotówek'!CD15</f>
        <v>0</v>
      </c>
      <c r="R10" s="482">
        <f>'HSZ do złotówek'!CG15</f>
        <v>0</v>
      </c>
      <c r="S10" s="482">
        <f>'HSZ do złotówek'!CF15</f>
        <v>0</v>
      </c>
      <c r="T10" s="482">
        <f>'HSZ do złotówek'!CG15</f>
        <v>0</v>
      </c>
      <c r="U10" s="482">
        <f>'HSZ do złotówek'!CH15</f>
        <v>0</v>
      </c>
    </row>
    <row r="11" spans="2:21" ht="28.5" customHeight="1">
      <c r="B11" s="88" t="s">
        <v>15</v>
      </c>
      <c r="C11" s="89" t="s">
        <v>193</v>
      </c>
      <c r="D11" s="482">
        <v>138349</v>
      </c>
      <c r="E11" s="490">
        <v>2008</v>
      </c>
      <c r="F11" s="484">
        <f>'HSZ do złotówek'!AW16</f>
        <v>88389</v>
      </c>
      <c r="G11" s="485">
        <f>'HSZ do złotówek'!AZ16</f>
        <v>73017</v>
      </c>
      <c r="H11" s="482">
        <f>'HSZ do złotówek'!BC16</f>
        <v>57645</v>
      </c>
      <c r="I11" s="486">
        <f>'HSZ do złotówek'!BF16</f>
        <v>42273</v>
      </c>
      <c r="J11" s="482">
        <f>'HSZ do złotówek'!BI16</f>
        <v>26901</v>
      </c>
      <c r="K11" s="482">
        <f>'HSZ do złotówek'!BL16</f>
        <v>11529</v>
      </c>
      <c r="L11" s="482">
        <f>'HSZ do złotówek'!BO16</f>
        <v>0</v>
      </c>
      <c r="M11" s="482">
        <f>'HSZ do złotówek'!BR16</f>
        <v>0</v>
      </c>
      <c r="N11" s="482">
        <f>'HSZ do złotówek'!BU16</f>
        <v>0</v>
      </c>
      <c r="O11" s="482">
        <f>'HSZ do złotówek'!BX16</f>
        <v>0</v>
      </c>
      <c r="P11" s="482">
        <f>'HSZ do złotówek'!CA16</f>
        <v>0</v>
      </c>
      <c r="Q11" s="482">
        <f>'HSZ do złotówek'!CD16</f>
        <v>0</v>
      </c>
      <c r="R11" s="482">
        <f>'HSZ do złotówek'!CG16</f>
        <v>0</v>
      </c>
      <c r="S11" s="482">
        <f>'HSZ do złotówek'!CF16</f>
        <v>0</v>
      </c>
      <c r="T11" s="482">
        <f>'HSZ do złotówek'!CG16</f>
        <v>0</v>
      </c>
      <c r="U11" s="482">
        <f>'HSZ do złotówek'!CH16</f>
        <v>0</v>
      </c>
    </row>
    <row r="12" spans="2:21" ht="22.5" customHeight="1">
      <c r="B12" s="88" t="s">
        <v>22</v>
      </c>
      <c r="C12" s="89" t="s">
        <v>195</v>
      </c>
      <c r="D12" s="482">
        <v>499709</v>
      </c>
      <c r="E12" s="490">
        <v>2007</v>
      </c>
      <c r="F12" s="484">
        <f>'HSZ do złotówek'!AW17</f>
        <v>285000</v>
      </c>
      <c r="G12" s="485">
        <f>'HSZ do złotówek'!AZ17</f>
        <v>237500</v>
      </c>
      <c r="H12" s="482">
        <f>'HSZ do złotówek'!BC17</f>
        <v>190000</v>
      </c>
      <c r="I12" s="486">
        <f>'HSZ do złotówek'!BF17</f>
        <v>142500</v>
      </c>
      <c r="J12" s="482">
        <f>'HSZ do złotówek'!BI17</f>
        <v>95000</v>
      </c>
      <c r="K12" s="482">
        <f>'HSZ do złotówek'!BL17</f>
        <v>47500</v>
      </c>
      <c r="L12" s="482">
        <f>'HSZ do złotówek'!BO17</f>
        <v>0</v>
      </c>
      <c r="M12" s="482">
        <f>'HSZ do złotówek'!BR17</f>
        <v>0</v>
      </c>
      <c r="N12" s="482">
        <f>'HSZ do złotówek'!BU17</f>
        <v>0</v>
      </c>
      <c r="O12" s="482">
        <f>'HSZ do złotówek'!BX17</f>
        <v>0</v>
      </c>
      <c r="P12" s="482">
        <f>'HSZ do złotówek'!CA17</f>
        <v>0</v>
      </c>
      <c r="Q12" s="482">
        <f>'HSZ do złotówek'!CD17</f>
        <v>0</v>
      </c>
      <c r="R12" s="482">
        <f>'HSZ do złotówek'!CG17</f>
        <v>0</v>
      </c>
      <c r="S12" s="482">
        <f>'HSZ do złotówek'!CF17</f>
        <v>0</v>
      </c>
      <c r="T12" s="482">
        <f>'HSZ do złotówek'!CG17</f>
        <v>0</v>
      </c>
      <c r="U12" s="482">
        <f>'HSZ do złotówek'!CH17</f>
        <v>0</v>
      </c>
    </row>
    <row r="13" spans="2:21" ht="30.75" customHeight="1">
      <c r="B13" s="88" t="s">
        <v>194</v>
      </c>
      <c r="C13" s="89" t="s">
        <v>197</v>
      </c>
      <c r="D13" s="482">
        <v>307667</v>
      </c>
      <c r="E13" s="490">
        <v>2003</v>
      </c>
      <c r="F13" s="484">
        <f>'HSZ do złotówek'!AW18</f>
        <v>0</v>
      </c>
      <c r="G13" s="485">
        <f>'HSZ do złotówek'!AZ18</f>
        <v>0</v>
      </c>
      <c r="H13" s="482">
        <f>'HSZ do złotówek'!BC18</f>
        <v>0</v>
      </c>
      <c r="I13" s="486">
        <f>'HSZ do złotówek'!BF18</f>
        <v>0</v>
      </c>
      <c r="J13" s="482">
        <f>'HSZ do złotówek'!BI18</f>
        <v>0</v>
      </c>
      <c r="K13" s="482">
        <f>'HSZ do złotówek'!BL18</f>
        <v>0</v>
      </c>
      <c r="L13" s="482">
        <f>'HSZ do złotówek'!BO18</f>
        <v>0</v>
      </c>
      <c r="M13" s="482">
        <f>'HSZ do złotówek'!BR18</f>
        <v>0</v>
      </c>
      <c r="N13" s="482">
        <f>'HSZ do złotówek'!BU18</f>
        <v>0</v>
      </c>
      <c r="O13" s="482">
        <f>'HSZ do złotówek'!BX18</f>
        <v>0</v>
      </c>
      <c r="P13" s="482">
        <f>'HSZ do złotówek'!CA18</f>
        <v>0</v>
      </c>
      <c r="Q13" s="482">
        <f>'HSZ do złotówek'!CD18</f>
        <v>0</v>
      </c>
      <c r="R13" s="482">
        <f>'HSZ do złotówek'!CG18</f>
        <v>0</v>
      </c>
      <c r="S13" s="482">
        <f>'HSZ do złotówek'!CF18</f>
        <v>0</v>
      </c>
      <c r="T13" s="482">
        <f>'HSZ do złotówek'!CG18</f>
        <v>0</v>
      </c>
      <c r="U13" s="482">
        <f>'HSZ do złotówek'!CH18</f>
        <v>0</v>
      </c>
    </row>
    <row r="14" spans="2:21" ht="24" customHeight="1">
      <c r="B14" s="88" t="s">
        <v>196</v>
      </c>
      <c r="C14" s="89" t="s">
        <v>199</v>
      </c>
      <c r="D14" s="482">
        <v>366174</v>
      </c>
      <c r="E14" s="490">
        <v>2008</v>
      </c>
      <c r="F14" s="484">
        <f>'HSZ do złotówek'!AW19</f>
        <v>255174</v>
      </c>
      <c r="G14" s="485">
        <f>'HSZ do złotówek'!AZ19</f>
        <v>218174</v>
      </c>
      <c r="H14" s="482">
        <f>'HSZ do złotówek'!BC19</f>
        <v>183085</v>
      </c>
      <c r="I14" s="486">
        <f>'HSZ do złotówek'!BF19</f>
        <v>142399</v>
      </c>
      <c r="J14" s="482">
        <f>'HSZ do złotówek'!BI19</f>
        <v>101713</v>
      </c>
      <c r="K14" s="482">
        <f>'HSZ do złotówek'!BL19</f>
        <v>61027</v>
      </c>
      <c r="L14" s="482">
        <f>'HSZ do złotówek'!BO19</f>
        <v>20341</v>
      </c>
      <c r="M14" s="482">
        <f>'HSZ do złotówek'!BR19</f>
        <v>0</v>
      </c>
      <c r="N14" s="482">
        <f>'HSZ do złotówek'!BU19</f>
        <v>0</v>
      </c>
      <c r="O14" s="482">
        <f>'HSZ do złotówek'!BX19</f>
        <v>0</v>
      </c>
      <c r="P14" s="482">
        <f>'HSZ do złotówek'!CA19</f>
        <v>0</v>
      </c>
      <c r="Q14" s="482">
        <f>'HSZ do złotówek'!CD19</f>
        <v>0</v>
      </c>
      <c r="R14" s="482">
        <f>'HSZ do złotówek'!CG19</f>
        <v>0</v>
      </c>
      <c r="S14" s="482">
        <f>'HSZ do złotówek'!CF19</f>
        <v>0</v>
      </c>
      <c r="T14" s="482">
        <f>'HSZ do złotówek'!CG19</f>
        <v>0</v>
      </c>
      <c r="U14" s="482">
        <f>'HSZ do złotówek'!CH19</f>
        <v>0</v>
      </c>
    </row>
    <row r="15" spans="2:21" ht="25.5" customHeight="1">
      <c r="B15" s="88" t="s">
        <v>198</v>
      </c>
      <c r="C15" s="92" t="s">
        <v>201</v>
      </c>
      <c r="D15" s="482">
        <v>562761</v>
      </c>
      <c r="E15" s="490">
        <v>2005</v>
      </c>
      <c r="F15" s="484">
        <f>'HSZ do złotówek'!AW20</f>
        <v>203202</v>
      </c>
      <c r="G15" s="485">
        <f>'HSZ do złotówek'!AZ20</f>
        <v>140670</v>
      </c>
      <c r="H15" s="482">
        <f>'HSZ do złotówek'!BC20</f>
        <v>78138</v>
      </c>
      <c r="I15" s="486">
        <f>'HSZ do złotówek'!BF20</f>
        <v>15606</v>
      </c>
      <c r="J15" s="482">
        <f>'HSZ do złotówek'!BI20</f>
        <v>0</v>
      </c>
      <c r="K15" s="482">
        <f>'HSZ do złotówek'!BL20</f>
        <v>0</v>
      </c>
      <c r="L15" s="482">
        <f>'HSZ do złotówek'!BO20</f>
        <v>0</v>
      </c>
      <c r="M15" s="482">
        <f>'HSZ do złotówek'!BR20</f>
        <v>0</v>
      </c>
      <c r="N15" s="482">
        <f>'HSZ do złotówek'!BU20</f>
        <v>0</v>
      </c>
      <c r="O15" s="482">
        <f>'HSZ do złotówek'!BX20</f>
        <v>0</v>
      </c>
      <c r="P15" s="482">
        <f>'HSZ do złotówek'!CA20</f>
        <v>0</v>
      </c>
      <c r="Q15" s="482">
        <f>'HSZ do złotówek'!CD20</f>
        <v>0</v>
      </c>
      <c r="R15" s="482">
        <f>'HSZ do złotówek'!CG20</f>
        <v>0</v>
      </c>
      <c r="S15" s="482">
        <f>'HSZ do złotówek'!CF20</f>
        <v>0</v>
      </c>
      <c r="T15" s="482">
        <f>'HSZ do złotówek'!CG20</f>
        <v>0</v>
      </c>
      <c r="U15" s="482">
        <f>'HSZ do złotówek'!CH20</f>
        <v>0</v>
      </c>
    </row>
    <row r="16" spans="2:21" ht="24" customHeight="1">
      <c r="B16" s="88" t="s">
        <v>200</v>
      </c>
      <c r="C16" s="92" t="s">
        <v>203</v>
      </c>
      <c r="D16" s="482">
        <v>917338</v>
      </c>
      <c r="E16" s="490">
        <v>2006</v>
      </c>
      <c r="F16" s="484">
        <f>'HSZ do złotówek'!AW21</f>
        <v>185098</v>
      </c>
      <c r="G16" s="485">
        <f>'HSZ do złotówek'!AZ21</f>
        <v>22378</v>
      </c>
      <c r="H16" s="482">
        <f>'HSZ do złotówek'!BC21</f>
        <v>0</v>
      </c>
      <c r="I16" s="486">
        <f>'HSZ do złotówek'!BF21</f>
        <v>0</v>
      </c>
      <c r="J16" s="482">
        <f>'HSZ do złotówek'!BI21</f>
        <v>0</v>
      </c>
      <c r="K16" s="482">
        <f>'HSZ do złotówek'!BL21</f>
        <v>0</v>
      </c>
      <c r="L16" s="482">
        <f>'HSZ do złotówek'!BO21</f>
        <v>0</v>
      </c>
      <c r="M16" s="482">
        <f>'HSZ do złotówek'!BR21</f>
        <v>0</v>
      </c>
      <c r="N16" s="482">
        <f>'HSZ do złotówek'!BU21</f>
        <v>0</v>
      </c>
      <c r="O16" s="482">
        <f>'HSZ do złotówek'!BX21</f>
        <v>0</v>
      </c>
      <c r="P16" s="482">
        <f>'HSZ do złotówek'!CA21</f>
        <v>0</v>
      </c>
      <c r="Q16" s="482">
        <f>'HSZ do złotówek'!CD21</f>
        <v>0</v>
      </c>
      <c r="R16" s="482">
        <f>'HSZ do złotówek'!CG21</f>
        <v>0</v>
      </c>
      <c r="S16" s="482">
        <f>'HSZ do złotówek'!CF21</f>
        <v>0</v>
      </c>
      <c r="T16" s="482">
        <f>'HSZ do złotówek'!CG21</f>
        <v>0</v>
      </c>
      <c r="U16" s="482">
        <f>'HSZ do złotówek'!CH21</f>
        <v>0</v>
      </c>
    </row>
    <row r="17" spans="1:21" ht="25.5" customHeight="1">
      <c r="B17" s="88" t="s">
        <v>202</v>
      </c>
      <c r="C17" s="92" t="s">
        <v>205</v>
      </c>
      <c r="D17" s="482">
        <v>548278</v>
      </c>
      <c r="E17" s="490">
        <v>2006</v>
      </c>
      <c r="F17" s="484">
        <f>'HSZ do złotówek'!AW22</f>
        <v>260414</v>
      </c>
      <c r="G17" s="485">
        <f>'HSZ do złotówek'!AZ22</f>
        <v>205590</v>
      </c>
      <c r="H17" s="482">
        <f>'HSZ do złotówek'!BC22</f>
        <v>150766</v>
      </c>
      <c r="I17" s="486">
        <f>'HSZ do złotówek'!BF22</f>
        <v>95942</v>
      </c>
      <c r="J17" s="482">
        <f>'HSZ do złotówek'!BI22</f>
        <v>41118</v>
      </c>
      <c r="K17" s="482">
        <f>'HSZ do złotówek'!BL22</f>
        <v>0</v>
      </c>
      <c r="L17" s="482">
        <f>'HSZ do złotówek'!BO22</f>
        <v>0</v>
      </c>
      <c r="M17" s="482">
        <f>'HSZ do złotówek'!BR22</f>
        <v>0</v>
      </c>
      <c r="N17" s="482">
        <f>'HSZ do złotówek'!BU22</f>
        <v>0</v>
      </c>
      <c r="O17" s="482">
        <f>'HSZ do złotówek'!BX22</f>
        <v>0</v>
      </c>
      <c r="P17" s="482">
        <f>'HSZ do złotówek'!CA22</f>
        <v>0</v>
      </c>
      <c r="Q17" s="482">
        <f>'HSZ do złotówek'!CD22</f>
        <v>0</v>
      </c>
      <c r="R17" s="482">
        <f>'HSZ do złotówek'!CG22</f>
        <v>0</v>
      </c>
      <c r="S17" s="482">
        <f>'HSZ do złotówek'!CF22</f>
        <v>0</v>
      </c>
      <c r="T17" s="482">
        <f>'HSZ do złotówek'!CG22</f>
        <v>0</v>
      </c>
      <c r="U17" s="482">
        <f>'HSZ do złotówek'!CH22</f>
        <v>0</v>
      </c>
    </row>
    <row r="18" spans="1:21" ht="27.75" customHeight="1">
      <c r="B18" s="88" t="s">
        <v>204</v>
      </c>
      <c r="C18" s="92" t="s">
        <v>207</v>
      </c>
      <c r="D18" s="482">
        <v>222896</v>
      </c>
      <c r="E18" s="490">
        <v>2007</v>
      </c>
      <c r="F18" s="484">
        <f>'HSZ do złotówek'!AW23</f>
        <v>134846</v>
      </c>
      <c r="G18" s="485">
        <f>'HSZ do złotówek'!AZ23</f>
        <v>111366</v>
      </c>
      <c r="H18" s="482">
        <f>'HSZ do złotówek'!BC23</f>
        <v>87886</v>
      </c>
      <c r="I18" s="486">
        <f>'HSZ do złotówek'!BF23</f>
        <v>64406</v>
      </c>
      <c r="J18" s="482">
        <f>'HSZ do złotówek'!BI23</f>
        <v>40926</v>
      </c>
      <c r="K18" s="482">
        <f>'HSZ do złotówek'!BL23</f>
        <v>17446</v>
      </c>
      <c r="L18" s="482">
        <f>'HSZ do złotówek'!BO23</f>
        <v>0</v>
      </c>
      <c r="M18" s="482">
        <f>'HSZ do złotówek'!BR23</f>
        <v>0</v>
      </c>
      <c r="N18" s="482">
        <f>'HSZ do złotówek'!BU23</f>
        <v>0</v>
      </c>
      <c r="O18" s="482">
        <f>'HSZ do złotówek'!BX23</f>
        <v>0</v>
      </c>
      <c r="P18" s="482">
        <f>'HSZ do złotówek'!CA23</f>
        <v>0</v>
      </c>
      <c r="Q18" s="482">
        <f>'HSZ do złotówek'!CD23</f>
        <v>0</v>
      </c>
      <c r="R18" s="482">
        <f>'HSZ do złotówek'!CG23</f>
        <v>0</v>
      </c>
      <c r="S18" s="482">
        <f>'HSZ do złotówek'!CF23</f>
        <v>0</v>
      </c>
      <c r="T18" s="482">
        <f>'HSZ do złotówek'!CG23</f>
        <v>0</v>
      </c>
      <c r="U18" s="482">
        <f>'HSZ do złotówek'!CH23</f>
        <v>0</v>
      </c>
    </row>
    <row r="19" spans="1:21" ht="25.5" customHeight="1">
      <c r="B19" s="88" t="s">
        <v>206</v>
      </c>
      <c r="C19" s="92" t="s">
        <v>209</v>
      </c>
      <c r="D19" s="482">
        <v>141743.99</v>
      </c>
      <c r="E19" s="490">
        <v>2006</v>
      </c>
      <c r="F19" s="484">
        <f>'HSZ do złotówek'!AW24</f>
        <v>141745</v>
      </c>
      <c r="G19" s="485">
        <f>'HSZ do złotówek'!AZ24</f>
        <v>141745</v>
      </c>
      <c r="H19" s="482">
        <f>'HSZ do złotówek'!BC24</f>
        <v>1402</v>
      </c>
      <c r="I19" s="486">
        <f>'HSZ do złotówek'!BF24</f>
        <v>0</v>
      </c>
      <c r="J19" s="482">
        <f>'HSZ do złotówek'!BI24</f>
        <v>0</v>
      </c>
      <c r="K19" s="482">
        <f>'HSZ do złotówek'!BL24</f>
        <v>0</v>
      </c>
      <c r="L19" s="482">
        <f>'HSZ do złotówek'!BO24</f>
        <v>0</v>
      </c>
      <c r="M19" s="482">
        <f>'HSZ do złotówek'!BR24</f>
        <v>0</v>
      </c>
      <c r="N19" s="482">
        <f>'HSZ do złotówek'!BU24</f>
        <v>0</v>
      </c>
      <c r="O19" s="482">
        <f>'HSZ do złotówek'!BX24</f>
        <v>0</v>
      </c>
      <c r="P19" s="482">
        <f>'HSZ do złotówek'!CA24</f>
        <v>0</v>
      </c>
      <c r="Q19" s="482">
        <f>'HSZ do złotówek'!CD24</f>
        <v>0</v>
      </c>
      <c r="R19" s="482">
        <f>'HSZ do złotówek'!CG24</f>
        <v>0</v>
      </c>
      <c r="S19" s="482">
        <f>'HSZ do złotówek'!CF24</f>
        <v>0</v>
      </c>
      <c r="T19" s="482">
        <f>'HSZ do złotówek'!CG24</f>
        <v>0</v>
      </c>
      <c r="U19" s="482">
        <f>'HSZ do złotówek'!CH24</f>
        <v>0</v>
      </c>
    </row>
    <row r="20" spans="1:21" ht="17.25" customHeight="1">
      <c r="B20" s="88"/>
      <c r="C20" s="93" t="s">
        <v>210</v>
      </c>
      <c r="D20" s="622"/>
      <c r="E20" s="623"/>
      <c r="F20" s="852"/>
      <c r="G20" s="852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5"/>
      <c r="S20" s="625"/>
      <c r="T20" s="625"/>
      <c r="U20" s="625"/>
    </row>
    <row r="21" spans="1:21" ht="25.5" customHeight="1">
      <c r="B21" s="88" t="s">
        <v>208</v>
      </c>
      <c r="C21" s="1253" t="s">
        <v>423</v>
      </c>
      <c r="D21" s="1254"/>
      <c r="E21" s="1255"/>
      <c r="F21" s="854"/>
      <c r="G21" s="853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</row>
    <row r="22" spans="1:21" ht="21.75" customHeight="1">
      <c r="B22" s="88"/>
      <c r="C22" s="881" t="str">
        <f>'HSZ do złotówek'!A27</f>
        <v>pożyczka 2013</v>
      </c>
      <c r="D22" s="482">
        <v>2285316</v>
      </c>
      <c r="E22" s="490">
        <v>2013</v>
      </c>
      <c r="F22" s="484">
        <f>'HSZ do złotówek'!AW27</f>
        <v>0</v>
      </c>
      <c r="G22" s="485">
        <f>'HSZ do złotówek'!AZ27</f>
        <v>0</v>
      </c>
      <c r="H22" s="482">
        <f>'HSZ do złotówek'!BC27</f>
        <v>0</v>
      </c>
      <c r="I22" s="486">
        <f>'HSZ do złotówek'!BF27</f>
        <v>0</v>
      </c>
      <c r="J22" s="482">
        <f>'HSZ do złotówek'!BI27</f>
        <v>0</v>
      </c>
      <c r="K22" s="482">
        <f>'HSZ do złotówek'!BL27</f>
        <v>0</v>
      </c>
      <c r="L22" s="482">
        <f>'HSZ do złotówek'!BO27</f>
        <v>0</v>
      </c>
      <c r="M22" s="482">
        <f>'HSZ do złotówek'!BR27</f>
        <v>0</v>
      </c>
      <c r="N22" s="482">
        <f>'HSZ do złotówek'!BU27</f>
        <v>0</v>
      </c>
      <c r="O22" s="482">
        <f>'HSZ do złotówek'!BX27</f>
        <v>0</v>
      </c>
      <c r="P22" s="482">
        <f>'HSZ do złotówek'!CA27</f>
        <v>0</v>
      </c>
      <c r="Q22" s="482">
        <f>'HSZ do złotówek'!CD27</f>
        <v>0</v>
      </c>
      <c r="R22" s="482">
        <f>'HSZ do złotówek'!CG27</f>
        <v>0</v>
      </c>
      <c r="S22" s="482">
        <f>'HSZ do złotówek'!CT27</f>
        <v>0</v>
      </c>
      <c r="T22" s="482">
        <f>'HSZ do złotówek'!CU27</f>
        <v>0</v>
      </c>
      <c r="U22" s="482">
        <f>'HSZ do złotówek'!CV27</f>
        <v>0</v>
      </c>
    </row>
    <row r="23" spans="1:21" ht="21" customHeight="1">
      <c r="B23" s="88"/>
      <c r="C23" s="881" t="str">
        <f>'HSZ do złotówek'!A28</f>
        <v>pożyczka 2014</v>
      </c>
      <c r="D23" s="482">
        <v>3379957</v>
      </c>
      <c r="E23" s="490" t="s">
        <v>418</v>
      </c>
      <c r="F23" s="484">
        <f>'HSZ do złotówek'!AW28</f>
        <v>0</v>
      </c>
      <c r="G23" s="485">
        <f>'HSZ do złotówek'!AZ28</f>
        <v>0</v>
      </c>
      <c r="H23" s="482">
        <f>'HSZ do złotówek'!BC28</f>
        <v>4941761</v>
      </c>
      <c r="I23" s="486">
        <f>'HSZ do złotówek'!BF28</f>
        <v>4941761</v>
      </c>
      <c r="J23" s="482">
        <f>'HSZ do złotówek'!BI28</f>
        <v>4447584</v>
      </c>
      <c r="K23" s="482">
        <f>'HSZ do złotówek'!BL28</f>
        <v>3953408</v>
      </c>
      <c r="L23" s="482">
        <f>'HSZ do złotówek'!BO28</f>
        <v>3459232</v>
      </c>
      <c r="M23" s="482">
        <f>'HSZ do złotówek'!BR28</f>
        <v>2965056</v>
      </c>
      <c r="N23" s="482">
        <f>'HSZ do złotówek'!BU28</f>
        <v>2470880</v>
      </c>
      <c r="O23" s="482">
        <f>'HSZ do złotówek'!BX28</f>
        <v>1976704</v>
      </c>
      <c r="P23" s="482">
        <f>'HSZ do złotówek'!CA28</f>
        <v>1482528</v>
      </c>
      <c r="Q23" s="482">
        <f>'HSZ do złotówek'!CD28</f>
        <v>988352</v>
      </c>
      <c r="R23" s="482">
        <f>'HSZ do złotówek'!CG28</f>
        <v>494176</v>
      </c>
      <c r="S23" s="482">
        <f>'HSZ do złotówek'!CT28</f>
        <v>0</v>
      </c>
      <c r="T23" s="482">
        <f>'HSZ do złotówek'!CU28</f>
        <v>0</v>
      </c>
      <c r="U23" s="482">
        <f>'HSZ do złotówek'!CV28</f>
        <v>0</v>
      </c>
    </row>
    <row r="24" spans="1:21" ht="23.25" customHeight="1">
      <c r="B24" s="88"/>
      <c r="C24" s="881" t="str">
        <f>'HSZ do złotówek'!A29</f>
        <v>pożyczka 2015</v>
      </c>
      <c r="D24" s="482">
        <v>547885</v>
      </c>
      <c r="E24" s="490" t="s">
        <v>419</v>
      </c>
      <c r="F24" s="484">
        <f>'HSZ do złotówek'!AW29</f>
        <v>0</v>
      </c>
      <c r="G24" s="485">
        <f>'HSZ do złotówek'!AZ29</f>
        <v>0</v>
      </c>
      <c r="H24" s="482">
        <f>'HSZ do złotówek'!BC29</f>
        <v>0</v>
      </c>
      <c r="I24" s="486">
        <f>'HSZ do złotówek'!BF29</f>
        <v>0</v>
      </c>
      <c r="J24" s="482">
        <f>'HSZ do złotówek'!BI29</f>
        <v>0</v>
      </c>
      <c r="K24" s="482">
        <f>'HSZ do złotówek'!BL29</f>
        <v>0</v>
      </c>
      <c r="L24" s="482">
        <f>'HSZ do złotówek'!BO29</f>
        <v>0</v>
      </c>
      <c r="M24" s="482">
        <f>'HSZ do złotówek'!BR29</f>
        <v>0</v>
      </c>
      <c r="N24" s="482">
        <f>'HSZ do złotówek'!BU29</f>
        <v>0</v>
      </c>
      <c r="O24" s="482">
        <f>'HSZ do złotówek'!BX29</f>
        <v>0</v>
      </c>
      <c r="P24" s="482">
        <f>'HSZ do złotówek'!CA29</f>
        <v>0</v>
      </c>
      <c r="Q24" s="482">
        <f>'HSZ do złotówek'!CD29</f>
        <v>0</v>
      </c>
      <c r="R24" s="482">
        <f>'HSZ do złotówek'!CG29</f>
        <v>0</v>
      </c>
      <c r="S24" s="482">
        <f>'HSZ do złotówek'!CT29</f>
        <v>0</v>
      </c>
      <c r="T24" s="482">
        <f>'HSZ do złotówek'!CU29</f>
        <v>0</v>
      </c>
      <c r="U24" s="482">
        <f>'HSZ do złotówek'!CV29</f>
        <v>0</v>
      </c>
    </row>
    <row r="25" spans="1:21" ht="24" customHeight="1">
      <c r="B25" s="88"/>
      <c r="C25" s="869" t="s">
        <v>412</v>
      </c>
      <c r="D25" s="482">
        <v>10800000</v>
      </c>
      <c r="E25" s="490" t="s">
        <v>417</v>
      </c>
      <c r="F25" s="892">
        <f>'HSZ do złotówek'!AW30</f>
        <v>0</v>
      </c>
      <c r="G25" s="485">
        <f>'HSZ do złotówek'!AZ30</f>
        <v>9090000</v>
      </c>
      <c r="H25" s="482">
        <f>'HSZ do złotówek'!BC30</f>
        <v>10800006</v>
      </c>
      <c r="I25" s="486">
        <f>'HSZ do złotówek'!BF30</f>
        <v>10231584</v>
      </c>
      <c r="J25" s="482">
        <f>'HSZ do złotówek'!BI30</f>
        <v>9378952</v>
      </c>
      <c r="K25" s="482">
        <f>'HSZ do złotówek'!BL30</f>
        <v>8526320</v>
      </c>
      <c r="L25" s="482">
        <f>'HSZ do złotówek'!BO30</f>
        <v>7673688</v>
      </c>
      <c r="M25" s="482">
        <f>'HSZ do złotówek'!BR30-2</f>
        <v>6821054</v>
      </c>
      <c r="N25" s="482">
        <f>'HSZ do złotówek'!BU30-2</f>
        <v>5968422</v>
      </c>
      <c r="O25" s="482">
        <f>'HSZ do złotówek'!BX30-2</f>
        <v>5115790</v>
      </c>
      <c r="P25" s="482">
        <f>'HSZ do złotówek'!CA30-2</f>
        <v>4263158</v>
      </c>
      <c r="Q25" s="482">
        <f>'HSZ do złotówek'!CD30-2</f>
        <v>3410526</v>
      </c>
      <c r="R25" s="482">
        <f>'HSZ do złotówek'!CG30-2</f>
        <v>2557894</v>
      </c>
      <c r="S25" s="482">
        <f>'HSZ do złotówek'!CJ30-2</f>
        <v>1705262</v>
      </c>
      <c r="T25" s="482">
        <f>'HSZ do złotówek'!CM30-2</f>
        <v>852630</v>
      </c>
      <c r="U25" s="482">
        <f>'HSZ do złotówek'!CP30</f>
        <v>0</v>
      </c>
    </row>
    <row r="26" spans="1:21" ht="40.5" customHeight="1">
      <c r="A26" s="94"/>
      <c r="B26" s="95" t="s">
        <v>212</v>
      </c>
      <c r="C26" s="860" t="s">
        <v>257</v>
      </c>
      <c r="D26" s="894">
        <v>0</v>
      </c>
      <c r="E26" s="894"/>
      <c r="F26" s="893">
        <f t="shared" ref="F26:P26" si="4">SUM(F27:F28)</f>
        <v>0</v>
      </c>
      <c r="G26" s="488">
        <f t="shared" si="4"/>
        <v>592000</v>
      </c>
      <c r="H26" s="487">
        <f t="shared" si="4"/>
        <v>4200000</v>
      </c>
      <c r="I26" s="487">
        <f t="shared" si="4"/>
        <v>3876000</v>
      </c>
      <c r="J26" s="487">
        <f t="shared" si="4"/>
        <v>3552000</v>
      </c>
      <c r="K26" s="487">
        <f t="shared" si="4"/>
        <v>3228000</v>
      </c>
      <c r="L26" s="487">
        <f t="shared" si="4"/>
        <v>2904000</v>
      </c>
      <c r="M26" s="487">
        <f t="shared" si="4"/>
        <v>2580000</v>
      </c>
      <c r="N26" s="487">
        <f t="shared" si="4"/>
        <v>2256000</v>
      </c>
      <c r="O26" s="487">
        <f t="shared" si="4"/>
        <v>1932000</v>
      </c>
      <c r="P26" s="487">
        <f t="shared" si="4"/>
        <v>1608000</v>
      </c>
      <c r="Q26" s="487">
        <f t="shared" ref="Q26:S26" si="5">SUM(Q27:Q28)</f>
        <v>1284000</v>
      </c>
      <c r="R26" s="487">
        <f t="shared" si="5"/>
        <v>960000</v>
      </c>
      <c r="S26" s="487">
        <f t="shared" si="5"/>
        <v>636000</v>
      </c>
      <c r="T26" s="487">
        <f t="shared" ref="T26" si="6">SUM(T27:T28)</f>
        <v>312000</v>
      </c>
      <c r="U26" s="487">
        <f t="shared" ref="U26" si="7">SUM(U27:U28)</f>
        <v>0</v>
      </c>
    </row>
    <row r="27" spans="1:21">
      <c r="B27" s="88"/>
      <c r="C27" s="92"/>
      <c r="D27" s="482"/>
      <c r="E27" s="483"/>
      <c r="F27" s="484"/>
      <c r="G27" s="485"/>
      <c r="H27" s="482"/>
      <c r="I27" s="486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</row>
    <row r="28" spans="1:21" ht="28.5" customHeight="1">
      <c r="B28" s="88" t="s">
        <v>26</v>
      </c>
      <c r="C28" s="93" t="s">
        <v>420</v>
      </c>
      <c r="D28" s="482">
        <v>4200000</v>
      </c>
      <c r="E28" s="483" t="s">
        <v>417</v>
      </c>
      <c r="F28" s="484"/>
      <c r="G28" s="485">
        <f>'HSZ do złotówek'!AZ10</f>
        <v>592000</v>
      </c>
      <c r="H28" s="482">
        <f>'HSZ do złotówek'!BC10</f>
        <v>4200000</v>
      </c>
      <c r="I28" s="486">
        <f>'HSZ do złotówek'!BF10</f>
        <v>3876000</v>
      </c>
      <c r="J28" s="482">
        <f>'HSZ do złotówek'!BI10</f>
        <v>3552000</v>
      </c>
      <c r="K28" s="482">
        <f>'HSZ do złotówek'!BL10</f>
        <v>3228000</v>
      </c>
      <c r="L28" s="482">
        <f>'HSZ do złotówek'!BO10</f>
        <v>2904000</v>
      </c>
      <c r="M28" s="482">
        <f>'HSZ do złotówek'!BR10</f>
        <v>2580000</v>
      </c>
      <c r="N28" s="482">
        <f>'HSZ do złotówek'!BU10</f>
        <v>2256000</v>
      </c>
      <c r="O28" s="482">
        <f>'HSZ do złotówek'!BX10</f>
        <v>1932000</v>
      </c>
      <c r="P28" s="482">
        <f>'HSZ do złotówek'!CA10</f>
        <v>1608000</v>
      </c>
      <c r="Q28" s="482">
        <f>'HSZ do złotówek'!CD10</f>
        <v>1284000</v>
      </c>
      <c r="R28" s="482">
        <f>'HSZ do złotówek'!CG10</f>
        <v>960000</v>
      </c>
      <c r="S28" s="482">
        <f>'HSZ do złotówek'!CJ10</f>
        <v>636000</v>
      </c>
      <c r="T28" s="482">
        <f>'HSZ do złotówek'!CM10</f>
        <v>312000</v>
      </c>
      <c r="U28" s="482">
        <f>'HSZ do złotówek'!CP10</f>
        <v>0</v>
      </c>
    </row>
    <row r="29" spans="1:21">
      <c r="B29" s="88"/>
      <c r="C29" s="93"/>
      <c r="D29" s="482"/>
      <c r="E29" s="482"/>
      <c r="F29" s="484"/>
      <c r="G29" s="485"/>
      <c r="H29" s="482"/>
      <c r="I29" s="486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</row>
    <row r="30" spans="1:21" ht="50.25" customHeight="1">
      <c r="B30" s="85">
        <v>3</v>
      </c>
      <c r="C30" s="860" t="s">
        <v>422</v>
      </c>
      <c r="D30" s="479">
        <v>0</v>
      </c>
      <c r="E30" s="479"/>
      <c r="F30" s="480">
        <f>SUM(F31:F38)</f>
        <v>45900000</v>
      </c>
      <c r="G30" s="481">
        <f>SUM(G31:G39)</f>
        <v>47700000</v>
      </c>
      <c r="H30" s="481">
        <f t="shared" ref="H30:U30" si="8">SUM(H31:H39)</f>
        <v>52200000</v>
      </c>
      <c r="I30" s="481">
        <f t="shared" si="8"/>
        <v>49300000</v>
      </c>
      <c r="J30" s="481">
        <f t="shared" si="8"/>
        <v>43300000</v>
      </c>
      <c r="K30" s="481">
        <f t="shared" si="8"/>
        <v>37300000</v>
      </c>
      <c r="L30" s="481">
        <f t="shared" si="8"/>
        <v>31300000</v>
      </c>
      <c r="M30" s="481">
        <f t="shared" si="8"/>
        <v>24300000</v>
      </c>
      <c r="N30" s="481">
        <f t="shared" si="8"/>
        <v>18000000</v>
      </c>
      <c r="O30" s="481">
        <f t="shared" si="8"/>
        <v>14000000</v>
      </c>
      <c r="P30" s="481">
        <f t="shared" si="8"/>
        <v>8000000</v>
      </c>
      <c r="Q30" s="481">
        <f t="shared" si="8"/>
        <v>3000000</v>
      </c>
      <c r="R30" s="481">
        <f t="shared" si="8"/>
        <v>0</v>
      </c>
      <c r="S30" s="481">
        <f t="shared" si="8"/>
        <v>0</v>
      </c>
      <c r="T30" s="481">
        <f t="shared" si="8"/>
        <v>0</v>
      </c>
      <c r="U30" s="481">
        <f t="shared" si="8"/>
        <v>0</v>
      </c>
    </row>
    <row r="31" spans="1:21" ht="21.75" customHeight="1">
      <c r="B31" s="88" t="s">
        <v>215</v>
      </c>
      <c r="C31" s="92" t="s">
        <v>216</v>
      </c>
      <c r="D31" s="482">
        <v>12850000</v>
      </c>
      <c r="E31" s="490">
        <v>2006</v>
      </c>
      <c r="F31" s="484">
        <f>'HSZ do złotówek'!AW36</f>
        <v>0</v>
      </c>
      <c r="G31" s="485">
        <f>'HSZ do złotówek'!AZ36</f>
        <v>0</v>
      </c>
      <c r="H31" s="482">
        <f>'HSZ do złotówek'!BC36</f>
        <v>0</v>
      </c>
      <c r="I31" s="486">
        <f>'HSZ do złotówek'!BF36</f>
        <v>0</v>
      </c>
      <c r="J31" s="482">
        <f>'HSZ do złotówek'!BI36</f>
        <v>0</v>
      </c>
      <c r="K31" s="482">
        <f>'HSZ do złotówek'!BL36</f>
        <v>0</v>
      </c>
      <c r="L31" s="482">
        <f>'HSZ do złotówek'!BO36</f>
        <v>0</v>
      </c>
      <c r="M31" s="482">
        <f>'HSZ do złotówek'!BR36</f>
        <v>0</v>
      </c>
      <c r="N31" s="482">
        <f>'HSZ do złotówek'!BU36</f>
        <v>0</v>
      </c>
      <c r="O31" s="482">
        <f>'HSZ do złotówek'!BX36</f>
        <v>0</v>
      </c>
      <c r="P31" s="482">
        <f>'HSZ do złotówek'!CA36</f>
        <v>0</v>
      </c>
      <c r="Q31" s="482">
        <f>'HSZ do złotówek'!CD36</f>
        <v>0</v>
      </c>
      <c r="R31" s="482">
        <f>'HSZ do złotówek'!CG36</f>
        <v>0</v>
      </c>
      <c r="S31" s="482">
        <f>'HSZ do złotówek'!CF36</f>
        <v>0</v>
      </c>
      <c r="T31" s="482">
        <f>'HSZ do złotówek'!CG36</f>
        <v>0</v>
      </c>
      <c r="U31" s="482">
        <f>'HSZ do złotówek'!CH36</f>
        <v>0</v>
      </c>
    </row>
    <row r="32" spans="1:21" ht="24" customHeight="1">
      <c r="B32" s="88" t="s">
        <v>41</v>
      </c>
      <c r="C32" s="92" t="s">
        <v>216</v>
      </c>
      <c r="D32" s="482">
        <v>2000000</v>
      </c>
      <c r="E32" s="490">
        <v>2008</v>
      </c>
      <c r="F32" s="484">
        <f>'HSZ do złotówek'!AW37</f>
        <v>2000000</v>
      </c>
      <c r="G32" s="485">
        <f>'HSZ do złotówek'!AZ37</f>
        <v>0</v>
      </c>
      <c r="H32" s="482">
        <f>'HSZ do złotówek'!BC37</f>
        <v>0</v>
      </c>
      <c r="I32" s="486">
        <f>'HSZ do złotówek'!BF37</f>
        <v>0</v>
      </c>
      <c r="J32" s="482">
        <f>'HSZ do złotówek'!BI37</f>
        <v>0</v>
      </c>
      <c r="K32" s="482">
        <f>'HSZ do złotówek'!BL37</f>
        <v>0</v>
      </c>
      <c r="L32" s="482">
        <f>'HSZ do złotówek'!BO37</f>
        <v>0</v>
      </c>
      <c r="M32" s="482">
        <f>'HSZ do złotówek'!BR37</f>
        <v>0</v>
      </c>
      <c r="N32" s="482">
        <f>'HSZ do złotówek'!BU37</f>
        <v>0</v>
      </c>
      <c r="O32" s="482">
        <f>'HSZ do złotówek'!BX37</f>
        <v>0</v>
      </c>
      <c r="P32" s="482">
        <f>'HSZ do złotówek'!CA37</f>
        <v>0</v>
      </c>
      <c r="Q32" s="482">
        <f>'HSZ do złotówek'!CD37</f>
        <v>0</v>
      </c>
      <c r="R32" s="482">
        <f>'HSZ do złotówek'!CG37</f>
        <v>0</v>
      </c>
      <c r="S32" s="482">
        <f>'HSZ do złotówek'!CF37</f>
        <v>0</v>
      </c>
      <c r="T32" s="482">
        <f>'HSZ do złotówek'!CG37</f>
        <v>0</v>
      </c>
      <c r="U32" s="482">
        <f>'HSZ do złotówek'!CH37</f>
        <v>0</v>
      </c>
    </row>
    <row r="33" spans="1:21" ht="21.75" customHeight="1">
      <c r="B33" s="88" t="s">
        <v>217</v>
      </c>
      <c r="C33" s="92" t="s">
        <v>218</v>
      </c>
      <c r="D33" s="482">
        <v>8900000</v>
      </c>
      <c r="E33" s="490">
        <v>2009</v>
      </c>
      <c r="F33" s="484">
        <f>'HSZ do złotówek'!AW38</f>
        <v>8900000</v>
      </c>
      <c r="G33" s="485">
        <f>'HSZ do złotówek'!AZ38</f>
        <v>3900000</v>
      </c>
      <c r="H33" s="482">
        <f>'HSZ do złotówek'!BC38</f>
        <v>900000</v>
      </c>
      <c r="I33" s="486">
        <f>'HSZ do złotówek'!BF38</f>
        <v>0</v>
      </c>
      <c r="J33" s="482">
        <f>'HSZ do złotówek'!BI38</f>
        <v>0</v>
      </c>
      <c r="K33" s="482">
        <f>'HSZ do złotówek'!BL38</f>
        <v>0</v>
      </c>
      <c r="L33" s="482">
        <f>'HSZ do złotówek'!BO38</f>
        <v>0</v>
      </c>
      <c r="M33" s="482">
        <f>'HSZ do złotówek'!BR38</f>
        <v>0</v>
      </c>
      <c r="N33" s="482">
        <f>'HSZ do złotówek'!BU38</f>
        <v>0</v>
      </c>
      <c r="O33" s="482">
        <f>'HSZ do złotówek'!BX38</f>
        <v>0</v>
      </c>
      <c r="P33" s="482">
        <f>'HSZ do złotówek'!CA38</f>
        <v>0</v>
      </c>
      <c r="Q33" s="482">
        <f>'HSZ do złotówek'!CD38</f>
        <v>0</v>
      </c>
      <c r="R33" s="482">
        <f>'HSZ do złotówek'!CG38</f>
        <v>0</v>
      </c>
      <c r="S33" s="482">
        <f>'HSZ do złotówek'!CF38</f>
        <v>0</v>
      </c>
      <c r="T33" s="482">
        <f>'HSZ do złotówek'!CG38</f>
        <v>0</v>
      </c>
      <c r="U33" s="482">
        <f>'HSZ do złotówek'!CH38</f>
        <v>0</v>
      </c>
    </row>
    <row r="34" spans="1:21" ht="21" customHeight="1">
      <c r="B34" s="88" t="s">
        <v>219</v>
      </c>
      <c r="C34" s="92" t="s">
        <v>220</v>
      </c>
      <c r="D34" s="482">
        <v>16000000</v>
      </c>
      <c r="E34" s="490">
        <v>2010</v>
      </c>
      <c r="F34" s="484">
        <f>'HSZ do złotówek'!AW39</f>
        <v>16000000</v>
      </c>
      <c r="G34" s="485">
        <f>'HSZ do złotówek'!AZ39</f>
        <v>14000000</v>
      </c>
      <c r="H34" s="482">
        <f>'HSZ do złotówek'!BC39</f>
        <v>14000000</v>
      </c>
      <c r="I34" s="486">
        <f>'HSZ do złotówek'!BF39</f>
        <v>11000000</v>
      </c>
      <c r="J34" s="482">
        <f>'HSZ do złotówek'!BI39</f>
        <v>5500000</v>
      </c>
      <c r="K34" s="482">
        <f>'HSZ do złotówek'!BL39</f>
        <v>0</v>
      </c>
      <c r="L34" s="482">
        <f>'HSZ do złotówek'!BO39</f>
        <v>0</v>
      </c>
      <c r="M34" s="482">
        <f>'HSZ do złotówek'!BR39</f>
        <v>0</v>
      </c>
      <c r="N34" s="482">
        <f>'HSZ do złotówek'!BU39</f>
        <v>0</v>
      </c>
      <c r="O34" s="482">
        <f>'HSZ do złotówek'!BX39</f>
        <v>0</v>
      </c>
      <c r="P34" s="482">
        <f>'HSZ do złotówek'!CA39</f>
        <v>0</v>
      </c>
      <c r="Q34" s="482">
        <f>'HSZ do złotówek'!CD39</f>
        <v>0</v>
      </c>
      <c r="R34" s="482">
        <f>'HSZ do złotówek'!CG39</f>
        <v>0</v>
      </c>
      <c r="S34" s="482">
        <f>'HSZ do złotówek'!CF39</f>
        <v>0</v>
      </c>
      <c r="T34" s="482">
        <f>'HSZ do złotówek'!CG39</f>
        <v>0</v>
      </c>
      <c r="U34" s="482">
        <f>'HSZ do złotówek'!CH39</f>
        <v>0</v>
      </c>
    </row>
    <row r="35" spans="1:21" ht="24" customHeight="1">
      <c r="B35" s="88" t="s">
        <v>221</v>
      </c>
      <c r="C35" s="96" t="s">
        <v>222</v>
      </c>
      <c r="D35" s="482">
        <v>10000000</v>
      </c>
      <c r="E35" s="490">
        <v>2011</v>
      </c>
      <c r="F35" s="484">
        <f>'HSZ do złotówek'!AW40</f>
        <v>10000000</v>
      </c>
      <c r="G35" s="485">
        <f>'HSZ do złotówek'!AZ40</f>
        <v>9500000</v>
      </c>
      <c r="H35" s="482">
        <f>'HSZ do złotówek'!BC40</f>
        <v>9000000</v>
      </c>
      <c r="I35" s="486">
        <f>'HSZ do złotówek'!BF40</f>
        <v>9000000</v>
      </c>
      <c r="J35" s="482">
        <f>'HSZ do złotówek'!BI40</f>
        <v>8500000</v>
      </c>
      <c r="K35" s="482">
        <f>'HSZ do złotówek'!BL40</f>
        <v>8000000</v>
      </c>
      <c r="L35" s="482">
        <f>'HSZ do złotówek'!BO40</f>
        <v>4000000</v>
      </c>
      <c r="M35" s="482">
        <f>'HSZ do złotówek'!BR40</f>
        <v>0</v>
      </c>
      <c r="N35" s="482">
        <f>'HSZ do złotówek'!BU40</f>
        <v>0</v>
      </c>
      <c r="O35" s="482">
        <f>'HSZ do złotówek'!BX40</f>
        <v>0</v>
      </c>
      <c r="P35" s="482">
        <f>'HSZ do złotówek'!CA40</f>
        <v>0</v>
      </c>
      <c r="Q35" s="482">
        <f>'HSZ do złotówek'!CD40</f>
        <v>0</v>
      </c>
      <c r="R35" s="482">
        <f>'HSZ do złotówek'!CG40</f>
        <v>0</v>
      </c>
      <c r="S35" s="482">
        <f>'HSZ do złotówek'!CF40</f>
        <v>0</v>
      </c>
      <c r="T35" s="482">
        <f>'HSZ do złotówek'!CG40</f>
        <v>0</v>
      </c>
      <c r="U35" s="482">
        <f>'HSZ do złotówek'!CH40</f>
        <v>0</v>
      </c>
    </row>
    <row r="36" spans="1:21" ht="32.25" customHeight="1">
      <c r="B36" s="841" t="s">
        <v>230</v>
      </c>
      <c r="C36" s="879" t="s">
        <v>410</v>
      </c>
      <c r="D36" s="837">
        <v>9000000</v>
      </c>
      <c r="E36" s="842">
        <v>2012</v>
      </c>
      <c r="F36" s="838">
        <f>'HSZ do złotówek'!AW44</f>
        <v>9000000</v>
      </c>
      <c r="G36" s="839">
        <f>'HSZ do złotówek'!AZ44</f>
        <v>9000000</v>
      </c>
      <c r="H36" s="837">
        <f>'HSZ do złotówek'!BC44</f>
        <v>9000000</v>
      </c>
      <c r="I36" s="840">
        <f>'HSZ do złotówek'!BF44</f>
        <v>9000000</v>
      </c>
      <c r="J36" s="837">
        <f>'HSZ do złotówek'!BI44</f>
        <v>9000000</v>
      </c>
      <c r="K36" s="837">
        <f>'HSZ do złotówek'!BL44</f>
        <v>9000000</v>
      </c>
      <c r="L36" s="837">
        <f>'HSZ do złotówek'!BO44</f>
        <v>7000000</v>
      </c>
      <c r="M36" s="837">
        <f>'HSZ do złotówek'!BR44</f>
        <v>4000000</v>
      </c>
      <c r="N36" s="837">
        <f>'HSZ do złotówek'!BU44</f>
        <v>0</v>
      </c>
      <c r="O36" s="837">
        <f>'HSZ do złotówek'!BX44</f>
        <v>0</v>
      </c>
      <c r="P36" s="837">
        <f>'HSZ do złotówek'!CA44</f>
        <v>0</v>
      </c>
      <c r="Q36" s="837">
        <f>'HSZ do złotówek'!CD42</f>
        <v>0</v>
      </c>
      <c r="R36" s="837">
        <f>'HSZ do złotówek'!CG42</f>
        <v>0</v>
      </c>
      <c r="S36" s="837">
        <f>'HSZ do złotówek'!CF42</f>
        <v>0</v>
      </c>
      <c r="T36" s="837">
        <f>'HSZ do złotówek'!CG42</f>
        <v>0</v>
      </c>
      <c r="U36" s="837">
        <f>'HSZ do złotówek'!CH42</f>
        <v>0</v>
      </c>
    </row>
    <row r="37" spans="1:21">
      <c r="B37" s="89"/>
      <c r="C37" s="89"/>
      <c r="D37" s="89"/>
      <c r="E37" s="856"/>
      <c r="F37" s="851"/>
      <c r="G37" s="855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43"/>
      <c r="S37" s="843"/>
      <c r="T37" s="843"/>
      <c r="U37" s="843"/>
    </row>
    <row r="38" spans="1:21" ht="32.25" customHeight="1">
      <c r="B38" s="848" t="s">
        <v>231</v>
      </c>
      <c r="C38" s="868" t="s">
        <v>411</v>
      </c>
      <c r="D38" s="844">
        <v>11300000</v>
      </c>
      <c r="E38" s="883">
        <v>2013</v>
      </c>
      <c r="F38" s="845"/>
      <c r="G38" s="846">
        <f>'HSZ do złotówek'!AZ46</f>
        <v>11300000</v>
      </c>
      <c r="H38" s="844">
        <f>'HSZ do złotówek'!BC46</f>
        <v>11300000</v>
      </c>
      <c r="I38" s="847">
        <f>'HSZ do złotówek'!BF46</f>
        <v>11300000</v>
      </c>
      <c r="J38" s="844">
        <f>'HSZ do złotówek'!BI46</f>
        <v>11300000</v>
      </c>
      <c r="K38" s="844">
        <f>'HSZ do złotówek'!BL46</f>
        <v>11300000</v>
      </c>
      <c r="L38" s="844">
        <f>SUM('HSZ do złotówek'!BO46)</f>
        <v>11300000</v>
      </c>
      <c r="M38" s="844">
        <f>SUM('HSZ do złotówek'!BR46)</f>
        <v>11300000</v>
      </c>
      <c r="N38" s="844">
        <f>SUM('HSZ do złotówek'!BU46)</f>
        <v>10000000</v>
      </c>
      <c r="O38" s="844">
        <f>SUM('HSZ do złotówek'!BX46)</f>
        <v>6000000</v>
      </c>
      <c r="P38" s="844">
        <f>SUM('HSZ do złotówek'!CA46)</f>
        <v>0</v>
      </c>
      <c r="Q38" s="844">
        <f>SUM('HSZ do złotówek'!CD46)</f>
        <v>0</v>
      </c>
      <c r="R38" s="844">
        <f>SUM('HSZ do złotówek'!CG46)</f>
        <v>0</v>
      </c>
      <c r="S38" s="844">
        <f>SUM('HSZ do złotówek'!CJ46)</f>
        <v>0</v>
      </c>
      <c r="T38" s="844">
        <f>SUM('HSZ do złotówek'!CM46)</f>
        <v>0</v>
      </c>
      <c r="U38" s="844">
        <f>SUM('HSZ do złotówek'!CP46)</f>
        <v>0</v>
      </c>
    </row>
    <row r="39" spans="1:21" ht="22.5" customHeight="1">
      <c r="B39" s="88"/>
      <c r="C39" s="867" t="s">
        <v>223</v>
      </c>
      <c r="D39" s="882" t="s">
        <v>232</v>
      </c>
      <c r="E39" s="849"/>
      <c r="F39" s="857"/>
      <c r="G39" s="874"/>
      <c r="H39" s="875">
        <f>'HSZ do złotówek'!BC47</f>
        <v>8000000</v>
      </c>
      <c r="I39" s="875">
        <f>'HSZ do złotówek'!BF47+'HSZ do złotówek'!BF48</f>
        <v>9000000</v>
      </c>
      <c r="J39" s="875">
        <f>'HSZ do złotówek'!BI47+'HSZ do złotówek'!BI48+'HSZ do złotówek'!BI49</f>
        <v>9000000</v>
      </c>
      <c r="K39" s="875">
        <f>'HSZ do złotówek'!BL47+'HSZ do złotówek'!BL48+'HSZ do złotówek'!BL49+'HSZ do złotówek'!BL50</f>
        <v>9000000</v>
      </c>
      <c r="L39" s="875">
        <f>SUM('HSZ do złotówek'!BO47:BO51)</f>
        <v>9000000</v>
      </c>
      <c r="M39" s="875">
        <f>SUM('HSZ do złotówek'!BR47:BR52)</f>
        <v>9000000</v>
      </c>
      <c r="N39" s="875">
        <f>SUM('HSZ do złotówek'!BU47:BU53)</f>
        <v>8000000</v>
      </c>
      <c r="O39" s="875">
        <f>SUM('HSZ do złotówek'!BX47:BX54)</f>
        <v>8000000</v>
      </c>
      <c r="P39" s="875">
        <f>SUM('HSZ do złotówek'!CA47:CA57)</f>
        <v>8000000</v>
      </c>
      <c r="Q39" s="875">
        <f>SUM('HSZ do złotówek'!CD47:CD57)</f>
        <v>3000000</v>
      </c>
      <c r="R39" s="876">
        <f>SUM('HSZ do złotówek'!CG47:CG57)</f>
        <v>0</v>
      </c>
      <c r="S39" s="876">
        <f>SUM('HSZ do złotówek'!CJ47:CJ57)</f>
        <v>0</v>
      </c>
      <c r="T39" s="876">
        <f>SUM('HSZ do złotówek'!CM47:CM57)</f>
        <v>0</v>
      </c>
      <c r="U39" s="876">
        <f>SUM('HSZ do złotówek'!CP47:CP57)</f>
        <v>0</v>
      </c>
    </row>
    <row r="40" spans="1:21" ht="45" customHeight="1">
      <c r="A40" s="94"/>
      <c r="B40" s="95" t="s">
        <v>224</v>
      </c>
      <c r="C40" s="860" t="s">
        <v>225</v>
      </c>
      <c r="D40" s="890"/>
      <c r="E40" s="891"/>
      <c r="F40" s="862">
        <f>F30+F26+F8</f>
        <v>48110961</v>
      </c>
      <c r="G40" s="863">
        <f t="shared" ref="G40" si="9">G30+G26+G8-2</f>
        <v>58932094</v>
      </c>
      <c r="H40" s="861">
        <f t="shared" ref="H40:Q40" si="10">H30+H26+H8</f>
        <v>73090465</v>
      </c>
      <c r="I40" s="861">
        <f t="shared" si="10"/>
        <v>68852471</v>
      </c>
      <c r="J40" s="861">
        <f t="shared" si="10"/>
        <v>60984194</v>
      </c>
      <c r="K40" s="861">
        <f t="shared" si="10"/>
        <v>53145230</v>
      </c>
      <c r="L40" s="861">
        <f t="shared" si="10"/>
        <v>45357261</v>
      </c>
      <c r="M40" s="861">
        <f t="shared" si="10"/>
        <v>36666110</v>
      </c>
      <c r="N40" s="861">
        <f t="shared" si="10"/>
        <v>28695302</v>
      </c>
      <c r="O40" s="861">
        <f t="shared" si="10"/>
        <v>23024494</v>
      </c>
      <c r="P40" s="861">
        <f t="shared" si="10"/>
        <v>15353686</v>
      </c>
      <c r="Q40" s="861">
        <f t="shared" si="10"/>
        <v>8682878</v>
      </c>
      <c r="R40" s="861">
        <f t="shared" ref="R40:S40" si="11">R30+R26+R8</f>
        <v>4012070</v>
      </c>
      <c r="S40" s="861">
        <f t="shared" si="11"/>
        <v>2341262</v>
      </c>
      <c r="T40" s="861">
        <f t="shared" ref="T40" si="12">T30+T26+T8</f>
        <v>1164630</v>
      </c>
      <c r="U40" s="861">
        <f t="shared" ref="U40" si="13">U30+U26+U8</f>
        <v>0</v>
      </c>
    </row>
    <row r="41" spans="1:21" ht="40.5" customHeight="1">
      <c r="B41" s="85">
        <v>5</v>
      </c>
      <c r="C41" s="97" t="s">
        <v>226</v>
      </c>
      <c r="D41" s="489"/>
      <c r="E41" s="489"/>
      <c r="F41" s="480">
        <f>'WPF styczeń 2013'!G7</f>
        <v>162361778</v>
      </c>
      <c r="G41" s="481">
        <f>'WPF styczeń 2013'!H7</f>
        <v>171964494.77000001</v>
      </c>
      <c r="H41" s="478">
        <f>'WPF styczeń 2013'!I7</f>
        <v>0</v>
      </c>
      <c r="I41" s="478">
        <f>'WPF styczeń 2013'!J7</f>
        <v>0</v>
      </c>
      <c r="J41" s="478">
        <f>'WPF styczeń 2013'!K7</f>
        <v>0</v>
      </c>
      <c r="K41" s="478">
        <f>'WPF styczeń 2013'!L7</f>
        <v>0</v>
      </c>
      <c r="L41" s="478">
        <f>'WPF styczeń 2013'!M7</f>
        <v>0</v>
      </c>
      <c r="M41" s="478">
        <f>'WPF styczeń 2013'!N7</f>
        <v>0</v>
      </c>
      <c r="N41" s="478">
        <f>'WPF styczeń 2013'!O7</f>
        <v>0</v>
      </c>
      <c r="O41" s="478">
        <f>'WPF styczeń 2013'!P7</f>
        <v>0</v>
      </c>
      <c r="P41" s="478">
        <f>'WPF styczeń 2013'!Q7</f>
        <v>0</v>
      </c>
      <c r="Q41" s="478">
        <f>'WPF styczeń 2013'!R7</f>
        <v>0</v>
      </c>
      <c r="R41" s="478">
        <f>'WPF styczeń 2013'!S7</f>
        <v>0</v>
      </c>
      <c r="S41" s="478">
        <f>'WPF styczeń 2013'!T7</f>
        <v>0</v>
      </c>
      <c r="T41" s="478">
        <f>'WPF styczeń 2013'!U7</f>
        <v>0</v>
      </c>
      <c r="U41" s="478">
        <f>'WPF styczeń 2013'!V7</f>
        <v>0</v>
      </c>
    </row>
    <row r="42" spans="1:21" ht="51">
      <c r="B42" s="85">
        <v>6</v>
      </c>
      <c r="C42" s="86" t="s">
        <v>227</v>
      </c>
      <c r="D42" s="98"/>
      <c r="E42" s="98"/>
      <c r="F42" s="99">
        <f t="shared" ref="F42:P42" si="14">ROUND((F40/F41*100),2)</f>
        <v>29.63</v>
      </c>
      <c r="G42" s="100">
        <f t="shared" si="14"/>
        <v>34.270000000000003</v>
      </c>
      <c r="H42" s="101" t="e">
        <f t="shared" si="14"/>
        <v>#DIV/0!</v>
      </c>
      <c r="I42" s="101" t="e">
        <f t="shared" si="14"/>
        <v>#DIV/0!</v>
      </c>
      <c r="J42" s="101" t="e">
        <f t="shared" si="14"/>
        <v>#DIV/0!</v>
      </c>
      <c r="K42" s="101" t="e">
        <f t="shared" si="14"/>
        <v>#DIV/0!</v>
      </c>
      <c r="L42" s="101" t="e">
        <f t="shared" si="14"/>
        <v>#DIV/0!</v>
      </c>
      <c r="M42" s="101" t="e">
        <f t="shared" si="14"/>
        <v>#DIV/0!</v>
      </c>
      <c r="N42" s="101" t="e">
        <f t="shared" si="14"/>
        <v>#DIV/0!</v>
      </c>
      <c r="O42" s="101" t="e">
        <f t="shared" si="14"/>
        <v>#DIV/0!</v>
      </c>
      <c r="P42" s="101" t="e">
        <f t="shared" si="14"/>
        <v>#DIV/0!</v>
      </c>
      <c r="Q42" s="101" t="e">
        <f t="shared" ref="Q42:S42" si="15">ROUND((Q40/Q41*100),2)</f>
        <v>#DIV/0!</v>
      </c>
      <c r="R42" s="101" t="e">
        <f t="shared" si="15"/>
        <v>#DIV/0!</v>
      </c>
      <c r="S42" s="101" t="e">
        <f t="shared" si="15"/>
        <v>#DIV/0!</v>
      </c>
      <c r="T42" s="101" t="e">
        <f t="shared" ref="T42" si="16">ROUND((T40/T41*100),2)</f>
        <v>#DIV/0!</v>
      </c>
      <c r="U42" s="101" t="e">
        <f t="shared" ref="U42" si="17">ROUND((U40/U41*100),2)</f>
        <v>#DIV/0!</v>
      </c>
    </row>
    <row r="43" spans="1:21">
      <c r="A43" s="102"/>
      <c r="B43" s="103"/>
      <c r="C43" s="104"/>
      <c r="D43" s="105"/>
      <c r="E43" s="858"/>
      <c r="F43" s="106"/>
      <c r="G43" s="859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878"/>
    </row>
    <row r="44" spans="1:21" ht="77.25" thickBot="1">
      <c r="B44" s="107">
        <v>7</v>
      </c>
      <c r="C44" s="108" t="s">
        <v>228</v>
      </c>
      <c r="D44" s="109"/>
      <c r="E44" s="109"/>
      <c r="F44" s="110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t="13.5" thickTop="1">
      <c r="A45" s="102"/>
      <c r="B45" s="113"/>
      <c r="C45" s="114"/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02"/>
    </row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t="12" hidden="1" customHeight="1"/>
  </sheetData>
  <sheetProtection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8">
    <mergeCell ref="C21:E21"/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  <pageSetUpPr fitToPage="1"/>
  </sheetPr>
  <dimension ref="A1:X324"/>
  <sheetViews>
    <sheetView view="pageBreakPreview" topLeftCell="A259" zoomScale="85" zoomScaleNormal="100" zoomScaleSheetLayoutView="85" workbookViewId="0">
      <selection activeCell="B276" sqref="B276:I279"/>
    </sheetView>
  </sheetViews>
  <sheetFormatPr defaultColWidth="0" defaultRowHeight="12.75"/>
  <cols>
    <col min="1" max="1" width="3.855468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25.7109375" style="72" customWidth="1"/>
    <col min="10" max="11" width="5.5703125" style="72" customWidth="1"/>
    <col min="12" max="12" width="15.42578125" style="72" customWidth="1"/>
    <col min="13" max="13" width="12.42578125" style="72" customWidth="1"/>
    <col min="14" max="14" width="16.140625" style="72" customWidth="1"/>
    <col min="15" max="15" width="2.28515625" style="72" customWidth="1"/>
    <col min="16" max="16" width="16" style="666" hidden="1" customWidth="1"/>
    <col min="17" max="17" width="15.42578125" style="666" customWidth="1"/>
    <col min="18" max="18" width="15.42578125" style="666" bestFit="1" customWidth="1"/>
    <col min="19" max="19" width="6.7109375" style="666" customWidth="1"/>
    <col min="20" max="20" width="7" style="72" customWidth="1"/>
    <col min="21" max="21" width="12.85546875" style="75" customWidth="1"/>
    <col min="22" max="22" width="2.42578125" style="192" customWidth="1"/>
    <col min="23" max="24" width="0" hidden="1" customWidth="1"/>
    <col min="25" max="16384" width="9.140625" hidden="1"/>
  </cols>
  <sheetData>
    <row r="1" spans="1:21" ht="39" customHeight="1">
      <c r="A1" s="1960" t="s">
        <v>99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  <c r="R1" s="1960"/>
      <c r="S1" s="1960"/>
      <c r="T1" s="1960"/>
      <c r="U1" s="1960"/>
    </row>
    <row r="2" spans="1:21" ht="39" customHeight="1" thickBot="1">
      <c r="A2" s="1961" t="s">
        <v>538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  <c r="S2" s="1961"/>
      <c r="T2" s="1961"/>
      <c r="U2" s="1961"/>
    </row>
    <row r="3" spans="1:21">
      <c r="A3" s="1962" t="s">
        <v>100</v>
      </c>
      <c r="B3" s="1966" t="s">
        <v>101</v>
      </c>
      <c r="C3" s="1966"/>
      <c r="D3" s="1966" t="s">
        <v>102</v>
      </c>
      <c r="E3" s="1966"/>
      <c r="F3" s="1966" t="s">
        <v>103</v>
      </c>
      <c r="G3" s="1966"/>
      <c r="H3" s="1966"/>
      <c r="I3" s="1966"/>
      <c r="J3" s="1968" t="s">
        <v>104</v>
      </c>
      <c r="K3" s="1969"/>
      <c r="L3" s="1974" t="s">
        <v>105</v>
      </c>
      <c r="M3" s="1968" t="s">
        <v>106</v>
      </c>
      <c r="N3" s="1976"/>
      <c r="O3" s="1976"/>
      <c r="P3" s="1977"/>
      <c r="Q3" s="1977"/>
      <c r="R3" s="1977"/>
      <c r="S3" s="1977"/>
      <c r="T3" s="1977"/>
      <c r="U3" s="1978"/>
    </row>
    <row r="4" spans="1:21">
      <c r="A4" s="1963"/>
      <c r="B4" s="1967"/>
      <c r="C4" s="1967"/>
      <c r="D4" s="1967"/>
      <c r="E4" s="1967"/>
      <c r="F4" s="1967"/>
      <c r="G4" s="1967"/>
      <c r="H4" s="1967"/>
      <c r="I4" s="1967"/>
      <c r="J4" s="1970"/>
      <c r="K4" s="1971"/>
      <c r="L4" s="1975"/>
      <c r="M4" s="1979"/>
      <c r="N4" s="1980"/>
      <c r="O4" s="1980"/>
      <c r="P4" s="1980"/>
      <c r="Q4" s="1980"/>
      <c r="R4" s="1980"/>
      <c r="S4" s="1980"/>
      <c r="T4" s="1980"/>
      <c r="U4" s="1981"/>
    </row>
    <row r="5" spans="1:21">
      <c r="A5" s="1963"/>
      <c r="B5" s="1997" t="s">
        <v>107</v>
      </c>
      <c r="C5" s="1998"/>
      <c r="D5" s="1997" t="s">
        <v>108</v>
      </c>
      <c r="E5" s="1998"/>
      <c r="F5" s="1997" t="s">
        <v>109</v>
      </c>
      <c r="G5" s="1999"/>
      <c r="H5" s="1999"/>
      <c r="I5" s="1998"/>
      <c r="J5" s="1970"/>
      <c r="K5" s="1971"/>
      <c r="L5" s="1975"/>
      <c r="M5" s="1982"/>
      <c r="N5" s="1983"/>
      <c r="O5" s="1983"/>
      <c r="P5" s="1983"/>
      <c r="Q5" s="1983"/>
      <c r="R5" s="1983"/>
      <c r="S5" s="1983"/>
      <c r="T5" s="1983"/>
      <c r="U5" s="1984"/>
    </row>
    <row r="6" spans="1:21">
      <c r="A6" s="1963"/>
      <c r="B6" s="1972"/>
      <c r="C6" s="1973"/>
      <c r="D6" s="1972"/>
      <c r="E6" s="1973"/>
      <c r="F6" s="1972"/>
      <c r="G6" s="2000"/>
      <c r="H6" s="2000"/>
      <c r="I6" s="1973"/>
      <c r="J6" s="1970"/>
      <c r="K6" s="1971"/>
      <c r="L6" s="1975"/>
      <c r="M6" s="2001" t="s">
        <v>110</v>
      </c>
      <c r="N6" s="2001" t="s">
        <v>111</v>
      </c>
      <c r="O6" s="2001" t="s">
        <v>112</v>
      </c>
      <c r="P6" s="1985">
        <v>2013</v>
      </c>
      <c r="Q6" s="2011">
        <v>2014</v>
      </c>
      <c r="R6" s="1985">
        <v>2015</v>
      </c>
      <c r="S6" s="1988">
        <v>2016</v>
      </c>
      <c r="T6" s="1991" t="s">
        <v>113</v>
      </c>
      <c r="U6" s="1992"/>
    </row>
    <row r="7" spans="1:21">
      <c r="A7" s="1964"/>
      <c r="B7" s="1997" t="s">
        <v>114</v>
      </c>
      <c r="C7" s="1999"/>
      <c r="D7" s="1999"/>
      <c r="E7" s="1999"/>
      <c r="F7" s="1999"/>
      <c r="G7" s="1999"/>
      <c r="H7" s="1999"/>
      <c r="I7" s="1998"/>
      <c r="J7" s="1970"/>
      <c r="K7" s="1971"/>
      <c r="L7" s="1975"/>
      <c r="M7" s="2002"/>
      <c r="N7" s="2004"/>
      <c r="O7" s="2004"/>
      <c r="P7" s="1986"/>
      <c r="Q7" s="2012"/>
      <c r="R7" s="1986"/>
      <c r="S7" s="1989"/>
      <c r="T7" s="1993"/>
      <c r="U7" s="1994"/>
    </row>
    <row r="8" spans="1:21" ht="3" customHeight="1">
      <c r="A8" s="1964"/>
      <c r="B8" s="1970"/>
      <c r="C8" s="2006"/>
      <c r="D8" s="2006"/>
      <c r="E8" s="2006"/>
      <c r="F8" s="2006"/>
      <c r="G8" s="2006"/>
      <c r="H8" s="2006"/>
      <c r="I8" s="1971"/>
      <c r="J8" s="1972"/>
      <c r="K8" s="1973"/>
      <c r="L8" s="1975"/>
      <c r="M8" s="2002"/>
      <c r="N8" s="2004"/>
      <c r="O8" s="2004"/>
      <c r="P8" s="1986"/>
      <c r="Q8" s="2012"/>
      <c r="R8" s="1986"/>
      <c r="S8" s="1989"/>
      <c r="T8" s="1993"/>
      <c r="U8" s="1994"/>
    </row>
    <row r="9" spans="1:21" ht="9.75" customHeight="1">
      <c r="A9" s="1964"/>
      <c r="B9" s="1970"/>
      <c r="C9" s="2006"/>
      <c r="D9" s="2006"/>
      <c r="E9" s="2006"/>
      <c r="F9" s="2006"/>
      <c r="G9" s="2006"/>
      <c r="H9" s="2006"/>
      <c r="I9" s="1971"/>
      <c r="J9" s="2014" t="s">
        <v>115</v>
      </c>
      <c r="K9" s="2014" t="s">
        <v>116</v>
      </c>
      <c r="L9" s="1967" t="s">
        <v>117</v>
      </c>
      <c r="M9" s="2002"/>
      <c r="N9" s="2004"/>
      <c r="O9" s="2004"/>
      <c r="P9" s="1986"/>
      <c r="Q9" s="2012"/>
      <c r="R9" s="1986"/>
      <c r="S9" s="1989"/>
      <c r="T9" s="1993"/>
      <c r="U9" s="1994"/>
    </row>
    <row r="10" spans="1:21">
      <c r="A10" s="1964"/>
      <c r="B10" s="1972"/>
      <c r="C10" s="2000"/>
      <c r="D10" s="2000"/>
      <c r="E10" s="2000"/>
      <c r="F10" s="2000"/>
      <c r="G10" s="2000"/>
      <c r="H10" s="2000"/>
      <c r="I10" s="1973"/>
      <c r="J10" s="2014"/>
      <c r="K10" s="2014"/>
      <c r="L10" s="1967"/>
      <c r="M10" s="2002"/>
      <c r="N10" s="2004"/>
      <c r="O10" s="2004"/>
      <c r="P10" s="1986"/>
      <c r="Q10" s="2012"/>
      <c r="R10" s="1986"/>
      <c r="S10" s="1989"/>
      <c r="T10" s="1993"/>
      <c r="U10" s="1994"/>
    </row>
    <row r="11" spans="1:21">
      <c r="A11" s="1964"/>
      <c r="B11" s="1997" t="s">
        <v>118</v>
      </c>
      <c r="C11" s="1999"/>
      <c r="D11" s="1999"/>
      <c r="E11" s="1999"/>
      <c r="F11" s="1999"/>
      <c r="G11" s="1999"/>
      <c r="H11" s="1999"/>
      <c r="I11" s="1998"/>
      <c r="J11" s="2014"/>
      <c r="K11" s="2014"/>
      <c r="L11" s="1967"/>
      <c r="M11" s="2002"/>
      <c r="N11" s="2004"/>
      <c r="O11" s="2004"/>
      <c r="P11" s="1986"/>
      <c r="Q11" s="2012"/>
      <c r="R11" s="1986"/>
      <c r="S11" s="1989"/>
      <c r="T11" s="1993"/>
      <c r="U11" s="1994"/>
    </row>
    <row r="12" spans="1:21">
      <c r="A12" s="1964"/>
      <c r="B12" s="1970"/>
      <c r="C12" s="2006"/>
      <c r="D12" s="2006"/>
      <c r="E12" s="2006"/>
      <c r="F12" s="2006"/>
      <c r="G12" s="2006"/>
      <c r="H12" s="2006"/>
      <c r="I12" s="1971"/>
      <c r="J12" s="2014"/>
      <c r="K12" s="2014"/>
      <c r="L12" s="1967"/>
      <c r="M12" s="2002"/>
      <c r="N12" s="2004"/>
      <c r="O12" s="2004"/>
      <c r="P12" s="1986"/>
      <c r="Q12" s="2012"/>
      <c r="R12" s="1986"/>
      <c r="S12" s="1989"/>
      <c r="T12" s="1993"/>
      <c r="U12" s="1994"/>
    </row>
    <row r="13" spans="1:21" ht="3" customHeight="1">
      <c r="A13" s="1964"/>
      <c r="B13" s="1970"/>
      <c r="C13" s="2006"/>
      <c r="D13" s="2006"/>
      <c r="E13" s="2006"/>
      <c r="F13" s="2006"/>
      <c r="G13" s="2006"/>
      <c r="H13" s="2006"/>
      <c r="I13" s="1971"/>
      <c r="J13" s="2014"/>
      <c r="K13" s="2014"/>
      <c r="L13" s="1967"/>
      <c r="M13" s="2002"/>
      <c r="N13" s="2004"/>
      <c r="O13" s="2004"/>
      <c r="P13" s="1986"/>
      <c r="Q13" s="2012"/>
      <c r="R13" s="1986"/>
      <c r="S13" s="1989"/>
      <c r="T13" s="1993"/>
      <c r="U13" s="1994"/>
    </row>
    <row r="14" spans="1:21" ht="6.75" customHeight="1" thickBot="1">
      <c r="A14" s="1965"/>
      <c r="B14" s="2017"/>
      <c r="C14" s="2018"/>
      <c r="D14" s="2018"/>
      <c r="E14" s="2018"/>
      <c r="F14" s="2018"/>
      <c r="G14" s="2018"/>
      <c r="H14" s="2018"/>
      <c r="I14" s="2019"/>
      <c r="J14" s="2015"/>
      <c r="K14" s="2015"/>
      <c r="L14" s="2016"/>
      <c r="M14" s="2003"/>
      <c r="N14" s="2005"/>
      <c r="O14" s="2005"/>
      <c r="P14" s="2010"/>
      <c r="Q14" s="2013"/>
      <c r="R14" s="1987"/>
      <c r="S14" s="1990"/>
      <c r="T14" s="1995"/>
      <c r="U14" s="1996"/>
    </row>
    <row r="15" spans="1:21" ht="13.5" customHeight="1" thickTop="1" thickBot="1">
      <c r="A15" s="1230"/>
      <c r="B15" s="1215"/>
      <c r="C15" s="1215"/>
      <c r="D15" s="1215"/>
      <c r="E15" s="1215"/>
      <c r="F15" s="1215"/>
      <c r="G15" s="1215"/>
      <c r="H15" s="1215"/>
      <c r="I15" s="1215"/>
      <c r="J15" s="1213"/>
      <c r="K15" s="1213"/>
      <c r="L15" s="1213"/>
      <c r="M15" s="1213"/>
      <c r="N15" s="1213"/>
      <c r="O15" s="1213"/>
      <c r="P15" s="665"/>
      <c r="Q15" s="1226"/>
      <c r="S15" s="665"/>
      <c r="T15" s="58"/>
      <c r="U15" s="1231"/>
    </row>
    <row r="16" spans="1:21" ht="13.5" customHeight="1" thickTop="1">
      <c r="A16" s="1825">
        <v>1</v>
      </c>
      <c r="B16" s="1864" t="s">
        <v>101</v>
      </c>
      <c r="C16" s="1865"/>
      <c r="D16" s="1865">
        <v>700</v>
      </c>
      <c r="E16" s="1865"/>
      <c r="F16" s="1871" t="s">
        <v>399</v>
      </c>
      <c r="G16" s="1871"/>
      <c r="H16" s="1871"/>
      <c r="I16" s="1871"/>
      <c r="J16" s="1822">
        <v>2012</v>
      </c>
      <c r="K16" s="1948">
        <v>2014</v>
      </c>
      <c r="L16" s="1818">
        <v>2858320</v>
      </c>
      <c r="M16" s="1820" t="s">
        <v>120</v>
      </c>
      <c r="N16" s="1782">
        <f>SUM(N20:N27)</f>
        <v>2228320</v>
      </c>
      <c r="O16" s="1780" t="s">
        <v>112</v>
      </c>
      <c r="P16" s="1782">
        <f>SUM(P20:P27)</f>
        <v>0</v>
      </c>
      <c r="Q16" s="1802">
        <f t="shared" ref="Q16:S16" si="0">SUM(Q20:Q27)</f>
        <v>2228320</v>
      </c>
      <c r="R16" s="1782">
        <f t="shared" si="0"/>
        <v>0</v>
      </c>
      <c r="S16" s="1782">
        <f t="shared" si="0"/>
        <v>0</v>
      </c>
      <c r="T16" s="1774">
        <f>SUM(U20:U27)</f>
        <v>2228320</v>
      </c>
      <c r="U16" s="1775"/>
    </row>
    <row r="17" spans="1:21">
      <c r="A17" s="1826"/>
      <c r="B17" s="1866"/>
      <c r="C17" s="1851"/>
      <c r="D17" s="1851"/>
      <c r="E17" s="1851"/>
      <c r="F17" s="1846"/>
      <c r="G17" s="1846"/>
      <c r="H17" s="1846"/>
      <c r="I17" s="1846"/>
      <c r="J17" s="1823"/>
      <c r="K17" s="1949"/>
      <c r="L17" s="1910"/>
      <c r="M17" s="1821"/>
      <c r="N17" s="1783"/>
      <c r="O17" s="1781"/>
      <c r="P17" s="1783"/>
      <c r="Q17" s="1803"/>
      <c r="R17" s="1783"/>
      <c r="S17" s="1783"/>
      <c r="T17" s="1776"/>
      <c r="U17" s="1777"/>
    </row>
    <row r="18" spans="1:21" ht="12.75" customHeight="1">
      <c r="A18" s="1826"/>
      <c r="B18" s="1876" t="s">
        <v>107</v>
      </c>
      <c r="C18" s="1781"/>
      <c r="D18" s="1781">
        <v>70095</v>
      </c>
      <c r="E18" s="1781"/>
      <c r="F18" s="1846" t="s">
        <v>130</v>
      </c>
      <c r="G18" s="1846"/>
      <c r="H18" s="1846"/>
      <c r="I18" s="1846"/>
      <c r="J18" s="1823"/>
      <c r="K18" s="1949"/>
      <c r="L18" s="1910"/>
      <c r="M18" s="1821"/>
      <c r="N18" s="1783"/>
      <c r="O18" s="1781"/>
      <c r="P18" s="1783"/>
      <c r="Q18" s="1803"/>
      <c r="R18" s="1783"/>
      <c r="S18" s="1783"/>
      <c r="T18" s="1776"/>
      <c r="U18" s="1777"/>
    </row>
    <row r="19" spans="1:21">
      <c r="A19" s="1826"/>
      <c r="B19" s="1877"/>
      <c r="C19" s="1832"/>
      <c r="D19" s="1832"/>
      <c r="E19" s="1832"/>
      <c r="F19" s="1847"/>
      <c r="G19" s="1847"/>
      <c r="H19" s="1847"/>
      <c r="I19" s="1847"/>
      <c r="J19" s="1823"/>
      <c r="K19" s="1949"/>
      <c r="L19" s="1910"/>
      <c r="M19" s="1821"/>
      <c r="N19" s="1783"/>
      <c r="O19" s="1781"/>
      <c r="P19" s="1783"/>
      <c r="Q19" s="1803"/>
      <c r="R19" s="1783"/>
      <c r="S19" s="1783"/>
      <c r="T19" s="1778"/>
      <c r="U19" s="1779"/>
    </row>
    <row r="20" spans="1:21" ht="12.75" customHeight="1">
      <c r="A20" s="1827"/>
      <c r="B20" s="1834" t="s">
        <v>522</v>
      </c>
      <c r="C20" s="1835"/>
      <c r="D20" s="1835"/>
      <c r="E20" s="1835"/>
      <c r="F20" s="1835"/>
      <c r="G20" s="1835"/>
      <c r="H20" s="1835"/>
      <c r="I20" s="1836"/>
      <c r="J20" s="1872"/>
      <c r="K20" s="1949"/>
      <c r="L20" s="1910"/>
      <c r="M20" s="1959" t="s">
        <v>122</v>
      </c>
      <c r="N20" s="1787">
        <f>SUM(P20:S23)</f>
        <v>968320</v>
      </c>
      <c r="O20" s="1781" t="s">
        <v>112</v>
      </c>
      <c r="P20" s="1784">
        <v>0</v>
      </c>
      <c r="Q20" s="1799">
        <v>968320</v>
      </c>
      <c r="R20" s="1784">
        <v>0</v>
      </c>
      <c r="S20" s="1787">
        <v>0</v>
      </c>
      <c r="T20" s="1770">
        <f>$P$5</f>
        <v>0</v>
      </c>
      <c r="U20" s="1772">
        <f>P16</f>
        <v>0</v>
      </c>
    </row>
    <row r="21" spans="1:21">
      <c r="A21" s="1827"/>
      <c r="B21" s="1837"/>
      <c r="C21" s="1838"/>
      <c r="D21" s="1838"/>
      <c r="E21" s="1838"/>
      <c r="F21" s="1838"/>
      <c r="G21" s="1838"/>
      <c r="H21" s="1838"/>
      <c r="I21" s="1839"/>
      <c r="J21" s="1872"/>
      <c r="K21" s="1949"/>
      <c r="L21" s="1911"/>
      <c r="M21" s="1959"/>
      <c r="N21" s="1787"/>
      <c r="O21" s="1781"/>
      <c r="P21" s="1785"/>
      <c r="Q21" s="1800"/>
      <c r="R21" s="1785"/>
      <c r="S21" s="1787"/>
      <c r="T21" s="1771"/>
      <c r="U21" s="1767"/>
    </row>
    <row r="22" spans="1:21">
      <c r="A22" s="1827"/>
      <c r="B22" s="1837"/>
      <c r="C22" s="1838"/>
      <c r="D22" s="1838"/>
      <c r="E22" s="1838"/>
      <c r="F22" s="1838"/>
      <c r="G22" s="1838"/>
      <c r="H22" s="1838"/>
      <c r="I22" s="1839"/>
      <c r="J22" s="1872"/>
      <c r="K22" s="1823"/>
      <c r="L22" s="1929">
        <v>70000</v>
      </c>
      <c r="M22" s="1781"/>
      <c r="N22" s="1787"/>
      <c r="O22" s="1781"/>
      <c r="P22" s="1785"/>
      <c r="Q22" s="1800"/>
      <c r="R22" s="1785"/>
      <c r="S22" s="1787"/>
      <c r="T22" s="1768">
        <f>$Q$5</f>
        <v>0</v>
      </c>
      <c r="U22" s="1767">
        <f>Q16</f>
        <v>2228320</v>
      </c>
    </row>
    <row r="23" spans="1:21" ht="6.75" customHeight="1">
      <c r="A23" s="1827"/>
      <c r="B23" s="1840"/>
      <c r="C23" s="1841"/>
      <c r="D23" s="1841"/>
      <c r="E23" s="1841"/>
      <c r="F23" s="1841"/>
      <c r="G23" s="1841"/>
      <c r="H23" s="1841"/>
      <c r="I23" s="1842"/>
      <c r="J23" s="1872"/>
      <c r="K23" s="1823"/>
      <c r="L23" s="1910"/>
      <c r="M23" s="1832"/>
      <c r="N23" s="1784"/>
      <c r="O23" s="1781"/>
      <c r="P23" s="1786"/>
      <c r="Q23" s="1817"/>
      <c r="R23" s="1786"/>
      <c r="S23" s="1787"/>
      <c r="T23" s="1768"/>
      <c r="U23" s="1767"/>
    </row>
    <row r="24" spans="1:21" ht="12.75" customHeight="1">
      <c r="A24" s="1827"/>
      <c r="B24" s="1852" t="s">
        <v>523</v>
      </c>
      <c r="C24" s="1853"/>
      <c r="D24" s="1853"/>
      <c r="E24" s="1853"/>
      <c r="F24" s="1853"/>
      <c r="G24" s="1853"/>
      <c r="H24" s="1853"/>
      <c r="I24" s="1854"/>
      <c r="J24" s="1823"/>
      <c r="K24" s="1823"/>
      <c r="L24" s="1910"/>
      <c r="M24" s="1832" t="s">
        <v>123</v>
      </c>
      <c r="N24" s="1787">
        <f>SUM(P24:S27)</f>
        <v>1260000</v>
      </c>
      <c r="O24" s="1781" t="s">
        <v>112</v>
      </c>
      <c r="P24" s="1784">
        <v>0</v>
      </c>
      <c r="Q24" s="1799">
        <f>260000+1000000</f>
        <v>1260000</v>
      </c>
      <c r="R24" s="1784">
        <v>0</v>
      </c>
      <c r="S24" s="1787">
        <v>0</v>
      </c>
      <c r="T24" s="1768">
        <f>$R$5</f>
        <v>0</v>
      </c>
      <c r="U24" s="1767">
        <f>R16</f>
        <v>0</v>
      </c>
    </row>
    <row r="25" spans="1:21">
      <c r="A25" s="1827"/>
      <c r="B25" s="1852"/>
      <c r="C25" s="1853"/>
      <c r="D25" s="1853"/>
      <c r="E25" s="1853"/>
      <c r="F25" s="1853"/>
      <c r="G25" s="1853"/>
      <c r="H25" s="1853"/>
      <c r="I25" s="1854"/>
      <c r="J25" s="1823"/>
      <c r="K25" s="1823"/>
      <c r="L25" s="1910"/>
      <c r="M25" s="1823"/>
      <c r="N25" s="1787"/>
      <c r="O25" s="1781"/>
      <c r="P25" s="1785"/>
      <c r="Q25" s="1800"/>
      <c r="R25" s="1785"/>
      <c r="S25" s="1787"/>
      <c r="T25" s="1768"/>
      <c r="U25" s="1767"/>
    </row>
    <row r="26" spans="1:21">
      <c r="A26" s="1827"/>
      <c r="B26" s="1852"/>
      <c r="C26" s="1853"/>
      <c r="D26" s="1853"/>
      <c r="E26" s="1853"/>
      <c r="F26" s="1853"/>
      <c r="G26" s="1853"/>
      <c r="H26" s="1853"/>
      <c r="I26" s="1854"/>
      <c r="J26" s="1823"/>
      <c r="K26" s="1823"/>
      <c r="L26" s="1910"/>
      <c r="M26" s="1823"/>
      <c r="N26" s="1787"/>
      <c r="O26" s="1781"/>
      <c r="P26" s="1785"/>
      <c r="Q26" s="1800"/>
      <c r="R26" s="1785"/>
      <c r="S26" s="1787"/>
      <c r="T26" s="1768">
        <f>$S$5</f>
        <v>0</v>
      </c>
      <c r="U26" s="1767">
        <f>S16</f>
        <v>0</v>
      </c>
    </row>
    <row r="27" spans="1:21" ht="3" customHeight="1" thickBot="1">
      <c r="A27" s="1863"/>
      <c r="B27" s="1855"/>
      <c r="C27" s="1856"/>
      <c r="D27" s="1856"/>
      <c r="E27" s="1856"/>
      <c r="F27" s="1856"/>
      <c r="G27" s="1856"/>
      <c r="H27" s="1856"/>
      <c r="I27" s="1857"/>
      <c r="J27" s="1824"/>
      <c r="K27" s="1824"/>
      <c r="L27" s="2007"/>
      <c r="M27" s="1824"/>
      <c r="N27" s="1788"/>
      <c r="O27" s="1896"/>
      <c r="P27" s="1798"/>
      <c r="Q27" s="1801"/>
      <c r="R27" s="1798"/>
      <c r="S27" s="1788"/>
      <c r="T27" s="1769"/>
      <c r="U27" s="1773"/>
    </row>
    <row r="28" spans="1:21" ht="13.5" customHeight="1" thickTop="1" thickBot="1">
      <c r="A28" s="1232"/>
      <c r="B28" s="1215"/>
      <c r="C28" s="1215"/>
      <c r="D28" s="1215"/>
      <c r="E28" s="1215"/>
      <c r="F28" s="1215"/>
      <c r="G28" s="1215"/>
      <c r="H28" s="1215"/>
      <c r="I28" s="1215"/>
      <c r="J28" s="65"/>
      <c r="K28" s="65"/>
      <c r="L28" s="64"/>
      <c r="M28" s="65"/>
      <c r="N28" s="193"/>
      <c r="O28" s="65"/>
      <c r="P28" s="667"/>
      <c r="Q28" s="1227"/>
      <c r="R28" s="667"/>
      <c r="S28" s="667"/>
      <c r="T28" s="193"/>
      <c r="U28" s="1220"/>
    </row>
    <row r="29" spans="1:21" ht="13.5" thickTop="1">
      <c r="A29" s="1825">
        <v>2</v>
      </c>
      <c r="B29" s="1864" t="s">
        <v>101</v>
      </c>
      <c r="C29" s="1865"/>
      <c r="D29" s="1865">
        <v>921</v>
      </c>
      <c r="E29" s="1865"/>
      <c r="F29" s="1871" t="s">
        <v>119</v>
      </c>
      <c r="G29" s="1871"/>
      <c r="H29" s="1871"/>
      <c r="I29" s="1871"/>
      <c r="J29" s="1822">
        <v>2008</v>
      </c>
      <c r="K29" s="1948">
        <v>2014</v>
      </c>
      <c r="L29" s="1818">
        <v>9989020</v>
      </c>
      <c r="M29" s="1820" t="s">
        <v>120</v>
      </c>
      <c r="N29" s="1782">
        <f>SUM(N33:N40)</f>
        <v>6017194</v>
      </c>
      <c r="O29" s="1780" t="s">
        <v>112</v>
      </c>
      <c r="P29" s="1782">
        <f>SUM(P33:P40)</f>
        <v>0</v>
      </c>
      <c r="Q29" s="1802">
        <f>SUM(Q33:Q40)</f>
        <v>6017194</v>
      </c>
      <c r="R29" s="1782">
        <f>SUM(R33:R40)</f>
        <v>0</v>
      </c>
      <c r="S29" s="1782">
        <f>SUM(S33:S40)</f>
        <v>0</v>
      </c>
      <c r="T29" s="1774">
        <f>SUM(U33:U40)</f>
        <v>6017194</v>
      </c>
      <c r="U29" s="1775"/>
    </row>
    <row r="30" spans="1:21" ht="12.75" customHeight="1">
      <c r="A30" s="1826"/>
      <c r="B30" s="1866"/>
      <c r="C30" s="1851"/>
      <c r="D30" s="1851"/>
      <c r="E30" s="1851"/>
      <c r="F30" s="1846"/>
      <c r="G30" s="1846"/>
      <c r="H30" s="1846"/>
      <c r="I30" s="1846"/>
      <c r="J30" s="1823"/>
      <c r="K30" s="1949"/>
      <c r="L30" s="1910"/>
      <c r="M30" s="1821"/>
      <c r="N30" s="1783"/>
      <c r="O30" s="1781"/>
      <c r="P30" s="1783"/>
      <c r="Q30" s="1803"/>
      <c r="R30" s="1783"/>
      <c r="S30" s="1783"/>
      <c r="T30" s="1776"/>
      <c r="U30" s="1777"/>
    </row>
    <row r="31" spans="1:21">
      <c r="A31" s="1826"/>
      <c r="B31" s="1876" t="s">
        <v>107</v>
      </c>
      <c r="C31" s="1781"/>
      <c r="D31" s="1781">
        <v>92118</v>
      </c>
      <c r="E31" s="1781"/>
      <c r="F31" s="1846" t="s">
        <v>121</v>
      </c>
      <c r="G31" s="1846"/>
      <c r="H31" s="1846"/>
      <c r="I31" s="1846"/>
      <c r="J31" s="1823"/>
      <c r="K31" s="1949"/>
      <c r="L31" s="1910"/>
      <c r="M31" s="1821"/>
      <c r="N31" s="1783"/>
      <c r="O31" s="1781"/>
      <c r="P31" s="1783"/>
      <c r="Q31" s="1803"/>
      <c r="R31" s="1783"/>
      <c r="S31" s="1783"/>
      <c r="T31" s="1776"/>
      <c r="U31" s="1777"/>
    </row>
    <row r="32" spans="1:21" ht="12.75" customHeight="1">
      <c r="A32" s="1826"/>
      <c r="B32" s="1877"/>
      <c r="C32" s="1832"/>
      <c r="D32" s="1832"/>
      <c r="E32" s="1832"/>
      <c r="F32" s="1847"/>
      <c r="G32" s="1847"/>
      <c r="H32" s="1847"/>
      <c r="I32" s="1847"/>
      <c r="J32" s="1823"/>
      <c r="K32" s="1949"/>
      <c r="L32" s="1910"/>
      <c r="M32" s="1821"/>
      <c r="N32" s="1783"/>
      <c r="O32" s="1781"/>
      <c r="P32" s="1783"/>
      <c r="Q32" s="1803"/>
      <c r="R32" s="1783"/>
      <c r="S32" s="1783"/>
      <c r="T32" s="1778"/>
      <c r="U32" s="1779"/>
    </row>
    <row r="33" spans="1:21">
      <c r="A33" s="1827"/>
      <c r="B33" s="1834" t="s">
        <v>521</v>
      </c>
      <c r="C33" s="1835"/>
      <c r="D33" s="1835"/>
      <c r="E33" s="1835"/>
      <c r="F33" s="1835"/>
      <c r="G33" s="1835"/>
      <c r="H33" s="1835"/>
      <c r="I33" s="1836"/>
      <c r="J33" s="1872"/>
      <c r="K33" s="1949"/>
      <c r="L33" s="1910"/>
      <c r="M33" s="1959" t="s">
        <v>122</v>
      </c>
      <c r="N33" s="1787">
        <f>SUM(P33:S36)</f>
        <v>4828045</v>
      </c>
      <c r="O33" s="1781" t="s">
        <v>112</v>
      </c>
      <c r="P33" s="1784">
        <v>0</v>
      </c>
      <c r="Q33" s="1799">
        <v>4828045</v>
      </c>
      <c r="R33" s="1784">
        <v>0</v>
      </c>
      <c r="S33" s="1787">
        <v>0</v>
      </c>
      <c r="T33" s="1770">
        <f>$P$6</f>
        <v>2013</v>
      </c>
      <c r="U33" s="1772">
        <f>P29</f>
        <v>0</v>
      </c>
    </row>
    <row r="34" spans="1:21">
      <c r="A34" s="1827"/>
      <c r="B34" s="1837"/>
      <c r="C34" s="1838"/>
      <c r="D34" s="1838"/>
      <c r="E34" s="1838"/>
      <c r="F34" s="1838"/>
      <c r="G34" s="1838"/>
      <c r="H34" s="1838"/>
      <c r="I34" s="1839"/>
      <c r="J34" s="1872"/>
      <c r="K34" s="1949"/>
      <c r="L34" s="1911"/>
      <c r="M34" s="1959"/>
      <c r="N34" s="1787"/>
      <c r="O34" s="1781"/>
      <c r="P34" s="1785"/>
      <c r="Q34" s="1800"/>
      <c r="R34" s="1785"/>
      <c r="S34" s="1787"/>
      <c r="T34" s="1771"/>
      <c r="U34" s="1767"/>
    </row>
    <row r="35" spans="1:21">
      <c r="A35" s="1827"/>
      <c r="B35" s="1837"/>
      <c r="C35" s="1838"/>
      <c r="D35" s="1838"/>
      <c r="E35" s="1838"/>
      <c r="F35" s="1838"/>
      <c r="G35" s="1838"/>
      <c r="H35" s="1838"/>
      <c r="I35" s="1839"/>
      <c r="J35" s="1872"/>
      <c r="K35" s="1823"/>
      <c r="L35" s="1945">
        <v>3671826</v>
      </c>
      <c r="M35" s="1781"/>
      <c r="N35" s="1787"/>
      <c r="O35" s="1781"/>
      <c r="P35" s="1785"/>
      <c r="Q35" s="1800"/>
      <c r="R35" s="1785"/>
      <c r="S35" s="1787"/>
      <c r="T35" s="1768">
        <f>$Q$6</f>
        <v>2014</v>
      </c>
      <c r="U35" s="1767">
        <f>Q29</f>
        <v>6017194</v>
      </c>
    </row>
    <row r="36" spans="1:21" ht="2.25" customHeight="1">
      <c r="A36" s="1827"/>
      <c r="B36" s="1840"/>
      <c r="C36" s="1841"/>
      <c r="D36" s="1841"/>
      <c r="E36" s="1841"/>
      <c r="F36" s="1841"/>
      <c r="G36" s="1841"/>
      <c r="H36" s="1841"/>
      <c r="I36" s="1842"/>
      <c r="J36" s="1872"/>
      <c r="K36" s="1823"/>
      <c r="L36" s="1946"/>
      <c r="M36" s="1832"/>
      <c r="N36" s="1784"/>
      <c r="O36" s="1781"/>
      <c r="P36" s="1786"/>
      <c r="Q36" s="1817"/>
      <c r="R36" s="1786"/>
      <c r="S36" s="1787"/>
      <c r="T36" s="1768"/>
      <c r="U36" s="1767"/>
    </row>
    <row r="37" spans="1:21" ht="12.75" customHeight="1">
      <c r="A37" s="1827"/>
      <c r="B37" s="1805" t="s">
        <v>523</v>
      </c>
      <c r="C37" s="2008"/>
      <c r="D37" s="2008"/>
      <c r="E37" s="2008"/>
      <c r="F37" s="2008"/>
      <c r="G37" s="2008"/>
      <c r="H37" s="2008"/>
      <c r="I37" s="2009"/>
      <c r="J37" s="1823"/>
      <c r="K37" s="1823"/>
      <c r="L37" s="1946"/>
      <c r="M37" s="1832" t="s">
        <v>123</v>
      </c>
      <c r="N37" s="1784">
        <f>SUM(P37:S40)</f>
        <v>1189149</v>
      </c>
      <c r="O37" s="1832" t="s">
        <v>112</v>
      </c>
      <c r="P37" s="1784">
        <v>0</v>
      </c>
      <c r="Q37" s="1799">
        <v>1189149</v>
      </c>
      <c r="R37" s="1784">
        <v>0</v>
      </c>
      <c r="S37" s="1784">
        <v>0</v>
      </c>
      <c r="T37" s="1768">
        <f>$R$6</f>
        <v>2015</v>
      </c>
      <c r="U37" s="1767">
        <f>Q31</f>
        <v>0</v>
      </c>
    </row>
    <row r="38" spans="1:21">
      <c r="A38" s="1827"/>
      <c r="B38" s="1852"/>
      <c r="C38" s="1853"/>
      <c r="D38" s="1853"/>
      <c r="E38" s="1853"/>
      <c r="F38" s="1853"/>
      <c r="G38" s="1853"/>
      <c r="H38" s="1853"/>
      <c r="I38" s="1854"/>
      <c r="J38" s="1823"/>
      <c r="K38" s="1823"/>
      <c r="L38" s="1946"/>
      <c r="M38" s="1823"/>
      <c r="N38" s="1785"/>
      <c r="O38" s="1823"/>
      <c r="P38" s="1785"/>
      <c r="Q38" s="1800"/>
      <c r="R38" s="1785"/>
      <c r="S38" s="1785"/>
      <c r="T38" s="1768"/>
      <c r="U38" s="1767"/>
    </row>
    <row r="39" spans="1:21" ht="9" customHeight="1">
      <c r="A39" s="1827"/>
      <c r="B39" s="1852"/>
      <c r="C39" s="1853"/>
      <c r="D39" s="1853"/>
      <c r="E39" s="1853"/>
      <c r="F39" s="1853"/>
      <c r="G39" s="1853"/>
      <c r="H39" s="1853"/>
      <c r="I39" s="1854"/>
      <c r="J39" s="1823"/>
      <c r="K39" s="1823"/>
      <c r="L39" s="1946"/>
      <c r="M39" s="1823"/>
      <c r="N39" s="1785"/>
      <c r="O39" s="1823"/>
      <c r="P39" s="1785"/>
      <c r="Q39" s="1800"/>
      <c r="R39" s="1785"/>
      <c r="S39" s="1785"/>
      <c r="T39" s="1768">
        <f>$S$6</f>
        <v>2016</v>
      </c>
      <c r="U39" s="1767">
        <f>S29</f>
        <v>0</v>
      </c>
    </row>
    <row r="40" spans="1:21" ht="6" hidden="1" customHeight="1" thickBot="1">
      <c r="A40" s="1863"/>
      <c r="B40" s="1855"/>
      <c r="C40" s="1856"/>
      <c r="D40" s="1856"/>
      <c r="E40" s="1856"/>
      <c r="F40" s="1856"/>
      <c r="G40" s="1856"/>
      <c r="H40" s="1856"/>
      <c r="I40" s="1857"/>
      <c r="J40" s="1824"/>
      <c r="K40" s="1824"/>
      <c r="L40" s="1947"/>
      <c r="M40" s="1824"/>
      <c r="N40" s="1798"/>
      <c r="O40" s="1824"/>
      <c r="P40" s="1798"/>
      <c r="Q40" s="1801"/>
      <c r="R40" s="1798"/>
      <c r="S40" s="1798"/>
      <c r="T40" s="1769"/>
      <c r="U40" s="1773"/>
    </row>
    <row r="41" spans="1:21" ht="13.5" hidden="1" customHeight="1" thickTop="1">
      <c r="A41" s="1232"/>
      <c r="B41" s="1215"/>
      <c r="C41" s="1215"/>
      <c r="D41" s="1215"/>
      <c r="E41" s="1215"/>
      <c r="F41" s="1215"/>
      <c r="G41" s="1215"/>
      <c r="H41" s="1215"/>
      <c r="I41" s="1215"/>
      <c r="J41" s="65"/>
      <c r="K41" s="65"/>
      <c r="L41" s="64"/>
      <c r="M41" s="65"/>
      <c r="N41" s="193"/>
      <c r="O41" s="65"/>
      <c r="P41" s="193"/>
      <c r="Q41" s="1228"/>
      <c r="R41" s="193"/>
      <c r="S41" s="193"/>
      <c r="T41" s="193"/>
      <c r="U41" s="1220"/>
    </row>
    <row r="42" spans="1:21" ht="13.5" hidden="1" thickTop="1">
      <c r="A42" s="1940">
        <v>4</v>
      </c>
      <c r="B42" s="1864" t="s">
        <v>101</v>
      </c>
      <c r="C42" s="1865"/>
      <c r="D42" s="1865">
        <v>0</v>
      </c>
      <c r="E42" s="1865"/>
      <c r="F42" s="1871">
        <v>0</v>
      </c>
      <c r="G42" s="1871"/>
      <c r="H42" s="1871"/>
      <c r="I42" s="1871"/>
      <c r="J42" s="1822">
        <v>2008</v>
      </c>
      <c r="K42" s="1822">
        <v>2012</v>
      </c>
      <c r="L42" s="1818">
        <f>SUM(N42,L48)</f>
        <v>0</v>
      </c>
      <c r="M42" s="1820" t="s">
        <v>120</v>
      </c>
      <c r="N42" s="1782">
        <f>IF(SUM(N46:N53)=T42,SUM(N46:N53),"wielbłąd")</f>
        <v>0</v>
      </c>
      <c r="O42" s="1780" t="s">
        <v>112</v>
      </c>
      <c r="P42" s="1782">
        <f>SUM(P46:P53)</f>
        <v>0</v>
      </c>
      <c r="Q42" s="1802">
        <f t="shared" ref="Q42:S42" si="1">SUM(Q46:Q53)</f>
        <v>0</v>
      </c>
      <c r="R42" s="1782">
        <f t="shared" si="1"/>
        <v>0</v>
      </c>
      <c r="S42" s="1782">
        <f t="shared" si="1"/>
        <v>0</v>
      </c>
      <c r="T42" s="1774">
        <f>SUM(U46:U53)</f>
        <v>0</v>
      </c>
      <c r="U42" s="1775"/>
    </row>
    <row r="43" spans="1:21" ht="12.75" hidden="1" customHeight="1">
      <c r="A43" s="1941"/>
      <c r="B43" s="1866"/>
      <c r="C43" s="1851"/>
      <c r="D43" s="1851"/>
      <c r="E43" s="1851"/>
      <c r="F43" s="1846"/>
      <c r="G43" s="1846"/>
      <c r="H43" s="1846"/>
      <c r="I43" s="1846"/>
      <c r="J43" s="1823"/>
      <c r="K43" s="1823"/>
      <c r="L43" s="1819"/>
      <c r="M43" s="1821"/>
      <c r="N43" s="1783"/>
      <c r="O43" s="1781"/>
      <c r="P43" s="1783"/>
      <c r="Q43" s="1803"/>
      <c r="R43" s="1783"/>
      <c r="S43" s="1783"/>
      <c r="T43" s="1776"/>
      <c r="U43" s="1777"/>
    </row>
    <row r="44" spans="1:21" hidden="1">
      <c r="A44" s="1941"/>
      <c r="B44" s="1876" t="s">
        <v>107</v>
      </c>
      <c r="C44" s="1781"/>
      <c r="D44" s="1781">
        <v>0</v>
      </c>
      <c r="E44" s="1781"/>
      <c r="F44" s="1938">
        <v>0</v>
      </c>
      <c r="G44" s="1938"/>
      <c r="H44" s="1938"/>
      <c r="I44" s="1938"/>
      <c r="J44" s="1823"/>
      <c r="K44" s="1823"/>
      <c r="L44" s="1819"/>
      <c r="M44" s="1821"/>
      <c r="N44" s="1783"/>
      <c r="O44" s="1781"/>
      <c r="P44" s="1783"/>
      <c r="Q44" s="1803"/>
      <c r="R44" s="1783"/>
      <c r="S44" s="1783"/>
      <c r="T44" s="1776"/>
      <c r="U44" s="1777"/>
    </row>
    <row r="45" spans="1:21" ht="12.75" hidden="1" customHeight="1">
      <c r="A45" s="1941"/>
      <c r="B45" s="1877"/>
      <c r="C45" s="1832"/>
      <c r="D45" s="1832"/>
      <c r="E45" s="1832"/>
      <c r="F45" s="1939"/>
      <c r="G45" s="1939"/>
      <c r="H45" s="1939"/>
      <c r="I45" s="1939"/>
      <c r="J45" s="1823"/>
      <c r="K45" s="1823"/>
      <c r="L45" s="1819"/>
      <c r="M45" s="1821"/>
      <c r="N45" s="1783"/>
      <c r="O45" s="1781"/>
      <c r="P45" s="1783"/>
      <c r="Q45" s="1803"/>
      <c r="R45" s="1783"/>
      <c r="S45" s="1783"/>
      <c r="T45" s="1778"/>
      <c r="U45" s="1779"/>
    </row>
    <row r="46" spans="1:21" hidden="1">
      <c r="A46" s="1942"/>
      <c r="B46" s="1950">
        <v>0</v>
      </c>
      <c r="C46" s="1951"/>
      <c r="D46" s="1951"/>
      <c r="E46" s="1951"/>
      <c r="F46" s="1951"/>
      <c r="G46" s="1951"/>
      <c r="H46" s="1951"/>
      <c r="I46" s="1952"/>
      <c r="J46" s="1872"/>
      <c r="K46" s="1823"/>
      <c r="L46" s="1819"/>
      <c r="M46" s="1781" t="s">
        <v>122</v>
      </c>
      <c r="N46" s="1787">
        <f>SUM(P46:S49)</f>
        <v>0</v>
      </c>
      <c r="O46" s="1781" t="s">
        <v>112</v>
      </c>
      <c r="P46" s="1787">
        <v>0</v>
      </c>
      <c r="Q46" s="1898">
        <v>0</v>
      </c>
      <c r="R46" s="1787">
        <v>0</v>
      </c>
      <c r="S46" s="1787">
        <v>0</v>
      </c>
      <c r="T46" s="1770">
        <f>$P$6</f>
        <v>2013</v>
      </c>
      <c r="U46" s="1772">
        <f>P42</f>
        <v>0</v>
      </c>
    </row>
    <row r="47" spans="1:21" hidden="1">
      <c r="A47" s="1942"/>
      <c r="B47" s="1953"/>
      <c r="C47" s="1954"/>
      <c r="D47" s="1954"/>
      <c r="E47" s="1954"/>
      <c r="F47" s="1954"/>
      <c r="G47" s="1954"/>
      <c r="H47" s="1954"/>
      <c r="I47" s="1955"/>
      <c r="J47" s="1872"/>
      <c r="K47" s="1823"/>
      <c r="L47" s="1819"/>
      <c r="M47" s="1781"/>
      <c r="N47" s="1787"/>
      <c r="O47" s="1781"/>
      <c r="P47" s="1787"/>
      <c r="Q47" s="1898"/>
      <c r="R47" s="1787"/>
      <c r="S47" s="1787"/>
      <c r="T47" s="1771"/>
      <c r="U47" s="1767"/>
    </row>
    <row r="48" spans="1:21" hidden="1">
      <c r="A48" s="1942"/>
      <c r="B48" s="1953"/>
      <c r="C48" s="1954"/>
      <c r="D48" s="1954"/>
      <c r="E48" s="1954"/>
      <c r="F48" s="1954"/>
      <c r="G48" s="1954"/>
      <c r="H48" s="1954"/>
      <c r="I48" s="1955"/>
      <c r="J48" s="1872"/>
      <c r="K48" s="1823"/>
      <c r="L48" s="1783">
        <v>0</v>
      </c>
      <c r="M48" s="1781"/>
      <c r="N48" s="1787"/>
      <c r="O48" s="1781"/>
      <c r="P48" s="1787"/>
      <c r="Q48" s="1898"/>
      <c r="R48" s="1787"/>
      <c r="S48" s="1787"/>
      <c r="T48" s="1768">
        <f>$Q$6</f>
        <v>2014</v>
      </c>
      <c r="U48" s="1767">
        <f>Q42</f>
        <v>0</v>
      </c>
    </row>
    <row r="49" spans="1:21" ht="12.75" hidden="1" customHeight="1">
      <c r="A49" s="1942"/>
      <c r="B49" s="1956"/>
      <c r="C49" s="1957"/>
      <c r="D49" s="1957"/>
      <c r="E49" s="1957"/>
      <c r="F49" s="1957"/>
      <c r="G49" s="1957"/>
      <c r="H49" s="1957"/>
      <c r="I49" s="1958"/>
      <c r="J49" s="1872"/>
      <c r="K49" s="1823"/>
      <c r="L49" s="1783"/>
      <c r="M49" s="1781"/>
      <c r="N49" s="1784"/>
      <c r="O49" s="1781"/>
      <c r="P49" s="1784"/>
      <c r="Q49" s="1898"/>
      <c r="R49" s="1787"/>
      <c r="S49" s="1787"/>
      <c r="T49" s="1768"/>
      <c r="U49" s="1767"/>
    </row>
    <row r="50" spans="1:21" hidden="1">
      <c r="A50" s="1942"/>
      <c r="B50" s="1852">
        <v>0</v>
      </c>
      <c r="C50" s="1853"/>
      <c r="D50" s="1853"/>
      <c r="E50" s="1853"/>
      <c r="F50" s="1853"/>
      <c r="G50" s="1853"/>
      <c r="H50" s="1853"/>
      <c r="I50" s="1854"/>
      <c r="J50" s="1823"/>
      <c r="K50" s="1823"/>
      <c r="L50" s="1783"/>
      <c r="M50" s="1832" t="s">
        <v>123</v>
      </c>
      <c r="N50" s="1787">
        <f>SUM(P50:S53)</f>
        <v>0</v>
      </c>
      <c r="O50" s="1781" t="s">
        <v>112</v>
      </c>
      <c r="P50" s="1787">
        <v>0</v>
      </c>
      <c r="Q50" s="1898">
        <v>0</v>
      </c>
      <c r="R50" s="1787">
        <v>0</v>
      </c>
      <c r="S50" s="1787">
        <v>0</v>
      </c>
      <c r="T50" s="1768">
        <f>$R$6</f>
        <v>2015</v>
      </c>
      <c r="U50" s="1767">
        <f>R42</f>
        <v>0</v>
      </c>
    </row>
    <row r="51" spans="1:21" hidden="1">
      <c r="A51" s="1942"/>
      <c r="B51" s="1852"/>
      <c r="C51" s="1853"/>
      <c r="D51" s="1853"/>
      <c r="E51" s="1853"/>
      <c r="F51" s="1853"/>
      <c r="G51" s="1853"/>
      <c r="H51" s="1853"/>
      <c r="I51" s="1854"/>
      <c r="J51" s="1823"/>
      <c r="K51" s="1823"/>
      <c r="L51" s="1783"/>
      <c r="M51" s="1823"/>
      <c r="N51" s="1787"/>
      <c r="O51" s="1781"/>
      <c r="P51" s="1787"/>
      <c r="Q51" s="1898"/>
      <c r="R51" s="1787"/>
      <c r="S51" s="1787"/>
      <c r="T51" s="1768"/>
      <c r="U51" s="1767"/>
    </row>
    <row r="52" spans="1:21" hidden="1">
      <c r="A52" s="1942"/>
      <c r="B52" s="1852"/>
      <c r="C52" s="1853"/>
      <c r="D52" s="1853"/>
      <c r="E52" s="1853"/>
      <c r="F52" s="1853"/>
      <c r="G52" s="1853"/>
      <c r="H52" s="1853"/>
      <c r="I52" s="1854"/>
      <c r="J52" s="1823"/>
      <c r="K52" s="1823"/>
      <c r="L52" s="1783"/>
      <c r="M52" s="1823"/>
      <c r="N52" s="1787"/>
      <c r="O52" s="1781"/>
      <c r="P52" s="1787"/>
      <c r="Q52" s="1898"/>
      <c r="R52" s="1787"/>
      <c r="S52" s="1787"/>
      <c r="T52" s="1768">
        <f>$S$6</f>
        <v>2016</v>
      </c>
      <c r="U52" s="1767">
        <f>S42</f>
        <v>0</v>
      </c>
    </row>
    <row r="53" spans="1:21" ht="17.25" hidden="1" customHeight="1" thickTop="1" thickBot="1">
      <c r="A53" s="1943"/>
      <c r="B53" s="1855"/>
      <c r="C53" s="1856"/>
      <c r="D53" s="1856"/>
      <c r="E53" s="1856"/>
      <c r="F53" s="1856"/>
      <c r="G53" s="1856"/>
      <c r="H53" s="1856"/>
      <c r="I53" s="1857"/>
      <c r="J53" s="1824"/>
      <c r="K53" s="1824"/>
      <c r="L53" s="1858"/>
      <c r="M53" s="1824"/>
      <c r="N53" s="1788"/>
      <c r="O53" s="1896"/>
      <c r="P53" s="1788"/>
      <c r="Q53" s="1944"/>
      <c r="R53" s="1788"/>
      <c r="S53" s="1788"/>
      <c r="T53" s="1769"/>
      <c r="U53" s="1773"/>
    </row>
    <row r="54" spans="1:21" ht="13.5" customHeight="1" thickBot="1">
      <c r="A54" s="1232"/>
      <c r="B54" s="1215"/>
      <c r="C54" s="1215"/>
      <c r="D54" s="1215"/>
      <c r="E54" s="1215"/>
      <c r="F54" s="1215"/>
      <c r="G54" s="1215"/>
      <c r="H54" s="1215"/>
      <c r="I54" s="1215"/>
      <c r="J54" s="65"/>
      <c r="K54" s="65"/>
      <c r="L54" s="64"/>
      <c r="M54" s="65"/>
      <c r="N54" s="193"/>
      <c r="O54" s="65"/>
      <c r="P54" s="193"/>
      <c r="Q54" s="1228"/>
      <c r="R54" s="193"/>
      <c r="S54" s="193"/>
      <c r="T54" s="193"/>
      <c r="U54" s="1220"/>
    </row>
    <row r="55" spans="1:21" ht="13.5" thickTop="1">
      <c r="A55" s="1825">
        <v>4</v>
      </c>
      <c r="B55" s="1864" t="s">
        <v>101</v>
      </c>
      <c r="C55" s="1865"/>
      <c r="D55" s="1865">
        <v>600</v>
      </c>
      <c r="E55" s="1865"/>
      <c r="F55" s="1871" t="s">
        <v>124</v>
      </c>
      <c r="G55" s="1871"/>
      <c r="H55" s="1871"/>
      <c r="I55" s="1871"/>
      <c r="J55" s="1822">
        <v>2011</v>
      </c>
      <c r="K55" s="1822">
        <v>2014</v>
      </c>
      <c r="L55" s="1818">
        <v>4779885</v>
      </c>
      <c r="M55" s="1820" t="s">
        <v>120</v>
      </c>
      <c r="N55" s="1782">
        <f>IF(SUM(N59:N66)=T55,SUM(N59:N66),"wielbłąd")</f>
        <v>4550000</v>
      </c>
      <c r="O55" s="1780" t="s">
        <v>112</v>
      </c>
      <c r="P55" s="1782">
        <f>SUM(P59:P66)</f>
        <v>0</v>
      </c>
      <c r="Q55" s="1802">
        <f t="shared" ref="Q55:S55" si="2">SUM(Q59:Q66)</f>
        <v>4550000</v>
      </c>
      <c r="R55" s="1782">
        <f t="shared" si="2"/>
        <v>0</v>
      </c>
      <c r="S55" s="1782">
        <f t="shared" si="2"/>
        <v>0</v>
      </c>
      <c r="T55" s="1774">
        <f>SUM(U59:U66)</f>
        <v>4550000</v>
      </c>
      <c r="U55" s="1775"/>
    </row>
    <row r="56" spans="1:21" ht="12.75" customHeight="1">
      <c r="A56" s="1826"/>
      <c r="B56" s="1866"/>
      <c r="C56" s="1851"/>
      <c r="D56" s="1851"/>
      <c r="E56" s="1851"/>
      <c r="F56" s="1846"/>
      <c r="G56" s="1846"/>
      <c r="H56" s="1846"/>
      <c r="I56" s="1846"/>
      <c r="J56" s="1823"/>
      <c r="K56" s="1823"/>
      <c r="L56" s="1819"/>
      <c r="M56" s="1821"/>
      <c r="N56" s="1783"/>
      <c r="O56" s="1781"/>
      <c r="P56" s="1783"/>
      <c r="Q56" s="1803"/>
      <c r="R56" s="1783"/>
      <c r="S56" s="1783"/>
      <c r="T56" s="1776"/>
      <c r="U56" s="1777"/>
    </row>
    <row r="57" spans="1:21">
      <c r="A57" s="1826"/>
      <c r="B57" s="1876" t="s">
        <v>107</v>
      </c>
      <c r="C57" s="1781"/>
      <c r="D57" s="1781">
        <v>60016</v>
      </c>
      <c r="E57" s="1781"/>
      <c r="F57" s="1938" t="s">
        <v>125</v>
      </c>
      <c r="G57" s="1938"/>
      <c r="H57" s="1938"/>
      <c r="I57" s="1938"/>
      <c r="J57" s="1823"/>
      <c r="K57" s="1823"/>
      <c r="L57" s="1819"/>
      <c r="M57" s="1821"/>
      <c r="N57" s="1783"/>
      <c r="O57" s="1781"/>
      <c r="P57" s="1783"/>
      <c r="Q57" s="1803"/>
      <c r="R57" s="1783"/>
      <c r="S57" s="1783"/>
      <c r="T57" s="1776"/>
      <c r="U57" s="1777"/>
    </row>
    <row r="58" spans="1:21" ht="12.75" customHeight="1">
      <c r="A58" s="1826"/>
      <c r="B58" s="1877"/>
      <c r="C58" s="1832"/>
      <c r="D58" s="1832"/>
      <c r="E58" s="1832"/>
      <c r="F58" s="1939"/>
      <c r="G58" s="1939"/>
      <c r="H58" s="1939"/>
      <c r="I58" s="1939"/>
      <c r="J58" s="1823"/>
      <c r="K58" s="1823"/>
      <c r="L58" s="1819"/>
      <c r="M58" s="1821"/>
      <c r="N58" s="1783"/>
      <c r="O58" s="1781"/>
      <c r="P58" s="1783"/>
      <c r="Q58" s="1803"/>
      <c r="R58" s="1783"/>
      <c r="S58" s="1783"/>
      <c r="T58" s="1778"/>
      <c r="U58" s="1779"/>
    </row>
    <row r="59" spans="1:21">
      <c r="A59" s="1827"/>
      <c r="B59" s="1834" t="s">
        <v>126</v>
      </c>
      <c r="C59" s="1835"/>
      <c r="D59" s="1835"/>
      <c r="E59" s="1835"/>
      <c r="F59" s="1835"/>
      <c r="G59" s="1835"/>
      <c r="H59" s="1835"/>
      <c r="I59" s="1836"/>
      <c r="J59" s="1872"/>
      <c r="K59" s="1823"/>
      <c r="L59" s="1819"/>
      <c r="M59" s="1781" t="s">
        <v>122</v>
      </c>
      <c r="N59" s="1787">
        <f>SUM(P59:S62)</f>
        <v>0</v>
      </c>
      <c r="O59" s="1781" t="s">
        <v>112</v>
      </c>
      <c r="P59" s="1787">
        <v>0</v>
      </c>
      <c r="Q59" s="1898">
        <v>0</v>
      </c>
      <c r="R59" s="1787">
        <v>0</v>
      </c>
      <c r="S59" s="1787">
        <v>0</v>
      </c>
      <c r="T59" s="1770">
        <f>$P$6</f>
        <v>2013</v>
      </c>
      <c r="U59" s="1772">
        <f>P55</f>
        <v>0</v>
      </c>
    </row>
    <row r="60" spans="1:21" ht="2.25" customHeight="1">
      <c r="A60" s="1827"/>
      <c r="B60" s="1837"/>
      <c r="C60" s="1838"/>
      <c r="D60" s="1838"/>
      <c r="E60" s="1838"/>
      <c r="F60" s="1838"/>
      <c r="G60" s="1838"/>
      <c r="H60" s="1838"/>
      <c r="I60" s="1839"/>
      <c r="J60" s="1872"/>
      <c r="K60" s="1823"/>
      <c r="L60" s="1819"/>
      <c r="M60" s="1781"/>
      <c r="N60" s="1787"/>
      <c r="O60" s="1781"/>
      <c r="P60" s="1787"/>
      <c r="Q60" s="1898"/>
      <c r="R60" s="1787"/>
      <c r="S60" s="1787"/>
      <c r="T60" s="1771"/>
      <c r="U60" s="1767"/>
    </row>
    <row r="61" spans="1:21" ht="3.75" customHeight="1">
      <c r="A61" s="1827"/>
      <c r="B61" s="1837"/>
      <c r="C61" s="1838"/>
      <c r="D61" s="1838"/>
      <c r="E61" s="1838"/>
      <c r="F61" s="1838"/>
      <c r="G61" s="1838"/>
      <c r="H61" s="1838"/>
      <c r="I61" s="1839"/>
      <c r="J61" s="1872"/>
      <c r="K61" s="1823"/>
      <c r="L61" s="1783">
        <v>29885</v>
      </c>
      <c r="M61" s="1781"/>
      <c r="N61" s="1787"/>
      <c r="O61" s="1781"/>
      <c r="P61" s="1787"/>
      <c r="Q61" s="1898"/>
      <c r="R61" s="1787"/>
      <c r="S61" s="1787"/>
      <c r="T61" s="1768">
        <f>$Q$6</f>
        <v>2014</v>
      </c>
      <c r="U61" s="1767">
        <f>Q55</f>
        <v>4550000</v>
      </c>
    </row>
    <row r="62" spans="1:21" ht="12.75" customHeight="1">
      <c r="A62" s="1827"/>
      <c r="B62" s="1840"/>
      <c r="C62" s="1841"/>
      <c r="D62" s="1841"/>
      <c r="E62" s="1841"/>
      <c r="F62" s="1841"/>
      <c r="G62" s="1841"/>
      <c r="H62" s="1841"/>
      <c r="I62" s="1842"/>
      <c r="J62" s="1872"/>
      <c r="K62" s="1823"/>
      <c r="L62" s="1783"/>
      <c r="M62" s="1781"/>
      <c r="N62" s="1784"/>
      <c r="O62" s="1781"/>
      <c r="P62" s="1784"/>
      <c r="Q62" s="1898"/>
      <c r="R62" s="1787"/>
      <c r="S62" s="1787"/>
      <c r="T62" s="1768"/>
      <c r="U62" s="1767"/>
    </row>
    <row r="63" spans="1:21">
      <c r="A63" s="1827"/>
      <c r="B63" s="1852" t="s">
        <v>524</v>
      </c>
      <c r="C63" s="1853"/>
      <c r="D63" s="1853"/>
      <c r="E63" s="1853"/>
      <c r="F63" s="1853"/>
      <c r="G63" s="1853"/>
      <c r="H63" s="1853"/>
      <c r="I63" s="1854"/>
      <c r="J63" s="1823"/>
      <c r="K63" s="1823"/>
      <c r="L63" s="1783"/>
      <c r="M63" s="1832" t="s">
        <v>123</v>
      </c>
      <c r="N63" s="1787">
        <f>SUM(P63:S66)</f>
        <v>4550000</v>
      </c>
      <c r="O63" s="1781" t="s">
        <v>112</v>
      </c>
      <c r="P63" s="1787">
        <v>0</v>
      </c>
      <c r="Q63" s="1898">
        <v>4550000</v>
      </c>
      <c r="R63" s="1787">
        <v>0</v>
      </c>
      <c r="S63" s="1787">
        <v>0</v>
      </c>
      <c r="T63" s="1768">
        <f>$R$6</f>
        <v>2015</v>
      </c>
      <c r="U63" s="1767">
        <f>R55</f>
        <v>0</v>
      </c>
    </row>
    <row r="64" spans="1:21" ht="1.5" customHeight="1">
      <c r="A64" s="1827"/>
      <c r="B64" s="1852"/>
      <c r="C64" s="1853"/>
      <c r="D64" s="1853"/>
      <c r="E64" s="1853"/>
      <c r="F64" s="1853"/>
      <c r="G64" s="1853"/>
      <c r="H64" s="1853"/>
      <c r="I64" s="1854"/>
      <c r="J64" s="1823"/>
      <c r="K64" s="1823"/>
      <c r="L64" s="1783"/>
      <c r="M64" s="1823"/>
      <c r="N64" s="1787"/>
      <c r="O64" s="1781"/>
      <c r="P64" s="1787"/>
      <c r="Q64" s="1898"/>
      <c r="R64" s="1787"/>
      <c r="S64" s="1787"/>
      <c r="T64" s="1768"/>
      <c r="U64" s="1767"/>
    </row>
    <row r="65" spans="1:21">
      <c r="A65" s="1827"/>
      <c r="B65" s="1852"/>
      <c r="C65" s="1853"/>
      <c r="D65" s="1853"/>
      <c r="E65" s="1853"/>
      <c r="F65" s="1853"/>
      <c r="G65" s="1853"/>
      <c r="H65" s="1853"/>
      <c r="I65" s="1854"/>
      <c r="J65" s="1823"/>
      <c r="K65" s="1823"/>
      <c r="L65" s="1783"/>
      <c r="M65" s="1823"/>
      <c r="N65" s="1787"/>
      <c r="O65" s="1781"/>
      <c r="P65" s="1787"/>
      <c r="Q65" s="1898"/>
      <c r="R65" s="1787"/>
      <c r="S65" s="1787"/>
      <c r="T65" s="1768">
        <f>$S$6</f>
        <v>2016</v>
      </c>
      <c r="U65" s="1767">
        <f>S55</f>
        <v>0</v>
      </c>
    </row>
    <row r="66" spans="1:21" ht="7.5" customHeight="1" thickBot="1">
      <c r="A66" s="1863"/>
      <c r="B66" s="1855"/>
      <c r="C66" s="1856"/>
      <c r="D66" s="1856"/>
      <c r="E66" s="1856"/>
      <c r="F66" s="1856"/>
      <c r="G66" s="1856"/>
      <c r="H66" s="1856"/>
      <c r="I66" s="1857"/>
      <c r="J66" s="1824"/>
      <c r="K66" s="1824"/>
      <c r="L66" s="1858"/>
      <c r="M66" s="1824"/>
      <c r="N66" s="1788"/>
      <c r="O66" s="1896"/>
      <c r="P66" s="1788"/>
      <c r="Q66" s="1944"/>
      <c r="R66" s="1788"/>
      <c r="S66" s="1788"/>
      <c r="T66" s="1769"/>
      <c r="U66" s="1773"/>
    </row>
    <row r="67" spans="1:21" ht="13.5" customHeight="1" thickTop="1">
      <c r="A67" s="1232"/>
      <c r="B67" s="1215"/>
      <c r="C67" s="1215"/>
      <c r="D67" s="1215"/>
      <c r="E67" s="1215"/>
      <c r="F67" s="1215"/>
      <c r="G67" s="1215"/>
      <c r="H67" s="1215"/>
      <c r="I67" s="1215"/>
      <c r="J67" s="65"/>
      <c r="K67" s="65"/>
      <c r="L67" s="64"/>
      <c r="M67" s="65"/>
      <c r="N67" s="193"/>
      <c r="O67" s="65"/>
      <c r="P67" s="193"/>
      <c r="Q67" s="1228"/>
      <c r="R67" s="193"/>
      <c r="S67" s="193"/>
      <c r="T67" s="193"/>
      <c r="U67" s="1220"/>
    </row>
    <row r="68" spans="1:21" ht="13.5" customHeight="1" thickBot="1">
      <c r="A68" s="1232"/>
      <c r="B68" s="1215"/>
      <c r="C68" s="1215"/>
      <c r="D68" s="1215"/>
      <c r="E68" s="1215"/>
      <c r="F68" s="1215"/>
      <c r="G68" s="1215"/>
      <c r="H68" s="1215"/>
      <c r="I68" s="1215"/>
      <c r="J68" s="65"/>
      <c r="K68" s="65"/>
      <c r="L68" s="64"/>
      <c r="M68" s="65"/>
      <c r="N68" s="193"/>
      <c r="O68" s="65"/>
      <c r="P68" s="193"/>
      <c r="Q68" s="1228"/>
      <c r="R68" s="193"/>
      <c r="S68" s="193"/>
      <c r="T68" s="193"/>
      <c r="U68" s="1220"/>
    </row>
    <row r="69" spans="1:21" ht="13.5" thickTop="1">
      <c r="A69" s="1825">
        <v>6</v>
      </c>
      <c r="B69" s="1864" t="s">
        <v>101</v>
      </c>
      <c r="C69" s="1865"/>
      <c r="D69" s="1865">
        <v>926</v>
      </c>
      <c r="E69" s="1865"/>
      <c r="F69" s="1871" t="s">
        <v>127</v>
      </c>
      <c r="G69" s="1871"/>
      <c r="H69" s="1871"/>
      <c r="I69" s="1871"/>
      <c r="J69" s="1822">
        <v>2011</v>
      </c>
      <c r="K69" s="1822">
        <v>2014</v>
      </c>
      <c r="L69" s="1818">
        <v>1632110</v>
      </c>
      <c r="M69" s="1820" t="s">
        <v>120</v>
      </c>
      <c r="N69" s="1782">
        <f>IF(SUM(N73:N80)=T69,SUM(N73:N80),"wielbłąd")</f>
        <v>1250000</v>
      </c>
      <c r="O69" s="1780" t="s">
        <v>112</v>
      </c>
      <c r="P69" s="1782">
        <f t="shared" ref="P69" si="3">SUM(P73:P80)</f>
        <v>0</v>
      </c>
      <c r="Q69" s="1802">
        <f t="shared" ref="Q69:S69" si="4">SUM(Q73:Q80)</f>
        <v>1250000</v>
      </c>
      <c r="R69" s="1782">
        <f t="shared" si="4"/>
        <v>0</v>
      </c>
      <c r="S69" s="1782">
        <f t="shared" si="4"/>
        <v>0</v>
      </c>
      <c r="T69" s="1774">
        <f>SUM(U73:U80)</f>
        <v>1250000</v>
      </c>
      <c r="U69" s="1775"/>
    </row>
    <row r="70" spans="1:21" ht="12.75" customHeight="1">
      <c r="A70" s="1826"/>
      <c r="B70" s="1866"/>
      <c r="C70" s="1851"/>
      <c r="D70" s="1851"/>
      <c r="E70" s="1851"/>
      <c r="F70" s="1846"/>
      <c r="G70" s="1846"/>
      <c r="H70" s="1846"/>
      <c r="I70" s="1846"/>
      <c r="J70" s="1823"/>
      <c r="K70" s="1823"/>
      <c r="L70" s="1819"/>
      <c r="M70" s="1821"/>
      <c r="N70" s="1783"/>
      <c r="O70" s="1781"/>
      <c r="P70" s="1783"/>
      <c r="Q70" s="1803"/>
      <c r="R70" s="1783"/>
      <c r="S70" s="1783"/>
      <c r="T70" s="1776"/>
      <c r="U70" s="1777"/>
    </row>
    <row r="71" spans="1:21">
      <c r="A71" s="1826"/>
      <c r="B71" s="1876" t="s">
        <v>107</v>
      </c>
      <c r="C71" s="1781"/>
      <c r="D71" s="1781">
        <v>92601</v>
      </c>
      <c r="E71" s="1781"/>
      <c r="F71" s="1846" t="s">
        <v>128</v>
      </c>
      <c r="G71" s="1846"/>
      <c r="H71" s="1846"/>
      <c r="I71" s="1846"/>
      <c r="J71" s="1823"/>
      <c r="K71" s="1823"/>
      <c r="L71" s="1819"/>
      <c r="M71" s="1821"/>
      <c r="N71" s="1783"/>
      <c r="O71" s="1781"/>
      <c r="P71" s="1783"/>
      <c r="Q71" s="1803"/>
      <c r="R71" s="1783"/>
      <c r="S71" s="1783"/>
      <c r="T71" s="1776"/>
      <c r="U71" s="1777"/>
    </row>
    <row r="72" spans="1:21" ht="12.75" customHeight="1">
      <c r="A72" s="1826"/>
      <c r="B72" s="1877"/>
      <c r="C72" s="1832"/>
      <c r="D72" s="1832"/>
      <c r="E72" s="1832"/>
      <c r="F72" s="1847"/>
      <c r="G72" s="1847"/>
      <c r="H72" s="1847"/>
      <c r="I72" s="1847"/>
      <c r="J72" s="1823"/>
      <c r="K72" s="1823"/>
      <c r="L72" s="1819"/>
      <c r="M72" s="1821"/>
      <c r="N72" s="1783"/>
      <c r="O72" s="1781"/>
      <c r="P72" s="1783"/>
      <c r="Q72" s="1803"/>
      <c r="R72" s="1783"/>
      <c r="S72" s="1783"/>
      <c r="T72" s="1778"/>
      <c r="U72" s="1779"/>
    </row>
    <row r="73" spans="1:21">
      <c r="A73" s="1827"/>
      <c r="B73" s="1834" t="s">
        <v>129</v>
      </c>
      <c r="C73" s="1835"/>
      <c r="D73" s="1835"/>
      <c r="E73" s="1835"/>
      <c r="F73" s="1835"/>
      <c r="G73" s="1835"/>
      <c r="H73" s="1835"/>
      <c r="I73" s="1836"/>
      <c r="J73" s="1872"/>
      <c r="K73" s="1823"/>
      <c r="L73" s="1819"/>
      <c r="M73" s="1781" t="s">
        <v>122</v>
      </c>
      <c r="N73" s="1787">
        <f>SUM(P73:S76)</f>
        <v>864271</v>
      </c>
      <c r="O73" s="1781" t="s">
        <v>112</v>
      </c>
      <c r="P73" s="1784">
        <v>0</v>
      </c>
      <c r="Q73" s="1799">
        <v>864271</v>
      </c>
      <c r="R73" s="1787">
        <v>0</v>
      </c>
      <c r="S73" s="1787">
        <v>0</v>
      </c>
      <c r="T73" s="1770">
        <f>$P$6</f>
        <v>2013</v>
      </c>
      <c r="U73" s="1772">
        <f>P69</f>
        <v>0</v>
      </c>
    </row>
    <row r="74" spans="1:21">
      <c r="A74" s="1827"/>
      <c r="B74" s="1837"/>
      <c r="C74" s="1838"/>
      <c r="D74" s="1838"/>
      <c r="E74" s="1838"/>
      <c r="F74" s="1838"/>
      <c r="G74" s="1838"/>
      <c r="H74" s="1838"/>
      <c r="I74" s="1839"/>
      <c r="J74" s="1872"/>
      <c r="K74" s="1823"/>
      <c r="L74" s="1819"/>
      <c r="M74" s="1781"/>
      <c r="N74" s="1787"/>
      <c r="O74" s="1781"/>
      <c r="P74" s="1785"/>
      <c r="Q74" s="1800"/>
      <c r="R74" s="1787"/>
      <c r="S74" s="1787"/>
      <c r="T74" s="1771"/>
      <c r="U74" s="1767"/>
    </row>
    <row r="75" spans="1:21">
      <c r="A75" s="1827"/>
      <c r="B75" s="1837"/>
      <c r="C75" s="1838"/>
      <c r="D75" s="1838"/>
      <c r="E75" s="1838"/>
      <c r="F75" s="1838"/>
      <c r="G75" s="1838"/>
      <c r="H75" s="1838"/>
      <c r="I75" s="1839"/>
      <c r="J75" s="1872"/>
      <c r="K75" s="1823"/>
      <c r="L75" s="1783">
        <v>72110</v>
      </c>
      <c r="M75" s="1781"/>
      <c r="N75" s="1787"/>
      <c r="O75" s="1781"/>
      <c r="P75" s="1785"/>
      <c r="Q75" s="1800"/>
      <c r="R75" s="1787"/>
      <c r="S75" s="1787"/>
      <c r="T75" s="1768">
        <f>$Q$6</f>
        <v>2014</v>
      </c>
      <c r="U75" s="1767">
        <f>Q69</f>
        <v>1250000</v>
      </c>
    </row>
    <row r="76" spans="1:21" ht="12.75" customHeight="1">
      <c r="A76" s="1827"/>
      <c r="B76" s="1840"/>
      <c r="C76" s="1841"/>
      <c r="D76" s="1841"/>
      <c r="E76" s="1841"/>
      <c r="F76" s="1841"/>
      <c r="G76" s="1841"/>
      <c r="H76" s="1841"/>
      <c r="I76" s="1842"/>
      <c r="J76" s="1872"/>
      <c r="K76" s="1823"/>
      <c r="L76" s="1783"/>
      <c r="M76" s="1781"/>
      <c r="N76" s="1784"/>
      <c r="O76" s="1781"/>
      <c r="P76" s="1786"/>
      <c r="Q76" s="1817"/>
      <c r="R76" s="1787"/>
      <c r="S76" s="1787"/>
      <c r="T76" s="1768"/>
      <c r="U76" s="1767"/>
    </row>
    <row r="77" spans="1:21">
      <c r="A77" s="1827"/>
      <c r="B77" s="1852" t="s">
        <v>523</v>
      </c>
      <c r="C77" s="1853"/>
      <c r="D77" s="1853"/>
      <c r="E77" s="1853"/>
      <c r="F77" s="1853"/>
      <c r="G77" s="1853"/>
      <c r="H77" s="1853"/>
      <c r="I77" s="1854"/>
      <c r="J77" s="1823"/>
      <c r="K77" s="1823"/>
      <c r="L77" s="1783"/>
      <c r="M77" s="1832" t="s">
        <v>123</v>
      </c>
      <c r="N77" s="1787">
        <f>SUM(P77:S80)</f>
        <v>385729</v>
      </c>
      <c r="O77" s="1781" t="s">
        <v>112</v>
      </c>
      <c r="P77" s="1784">
        <v>0</v>
      </c>
      <c r="Q77" s="1799">
        <v>385729</v>
      </c>
      <c r="R77" s="1787">
        <v>0</v>
      </c>
      <c r="S77" s="1787">
        <v>0</v>
      </c>
      <c r="T77" s="1768">
        <f>$R$6</f>
        <v>2015</v>
      </c>
      <c r="U77" s="1767">
        <f>R69</f>
        <v>0</v>
      </c>
    </row>
    <row r="78" spans="1:21" ht="6.75" customHeight="1">
      <c r="A78" s="1827"/>
      <c r="B78" s="1852"/>
      <c r="C78" s="1853"/>
      <c r="D78" s="1853"/>
      <c r="E78" s="1853"/>
      <c r="F78" s="1853"/>
      <c r="G78" s="1853"/>
      <c r="H78" s="1853"/>
      <c r="I78" s="1854"/>
      <c r="J78" s="1823"/>
      <c r="K78" s="1823"/>
      <c r="L78" s="1783"/>
      <c r="M78" s="1823"/>
      <c r="N78" s="1787"/>
      <c r="O78" s="1781"/>
      <c r="P78" s="1785"/>
      <c r="Q78" s="1800"/>
      <c r="R78" s="1787"/>
      <c r="S78" s="1787"/>
      <c r="T78" s="1768"/>
      <c r="U78" s="1767"/>
    </row>
    <row r="79" spans="1:21" ht="9" customHeight="1">
      <c r="A79" s="1827"/>
      <c r="B79" s="1852"/>
      <c r="C79" s="1853"/>
      <c r="D79" s="1853"/>
      <c r="E79" s="1853"/>
      <c r="F79" s="1853"/>
      <c r="G79" s="1853"/>
      <c r="H79" s="1853"/>
      <c r="I79" s="1854"/>
      <c r="J79" s="1823"/>
      <c r="K79" s="1823"/>
      <c r="L79" s="1783"/>
      <c r="M79" s="1823"/>
      <c r="N79" s="1787"/>
      <c r="O79" s="1781"/>
      <c r="P79" s="1785"/>
      <c r="Q79" s="1800"/>
      <c r="R79" s="1787"/>
      <c r="S79" s="1787"/>
      <c r="T79" s="1768">
        <f>$S$6</f>
        <v>2016</v>
      </c>
      <c r="U79" s="1767">
        <f>S69</f>
        <v>0</v>
      </c>
    </row>
    <row r="80" spans="1:21" ht="12.75" customHeight="1" thickBot="1">
      <c r="A80" s="1863"/>
      <c r="B80" s="1855"/>
      <c r="C80" s="1856"/>
      <c r="D80" s="1856"/>
      <c r="E80" s="1856"/>
      <c r="F80" s="1856"/>
      <c r="G80" s="1856"/>
      <c r="H80" s="1856"/>
      <c r="I80" s="1857"/>
      <c r="J80" s="1824"/>
      <c r="K80" s="1824"/>
      <c r="L80" s="1858"/>
      <c r="M80" s="1824"/>
      <c r="N80" s="1788"/>
      <c r="O80" s="1896"/>
      <c r="P80" s="1798"/>
      <c r="Q80" s="1801"/>
      <c r="R80" s="1788"/>
      <c r="S80" s="1788"/>
      <c r="T80" s="1769"/>
      <c r="U80" s="1773"/>
    </row>
    <row r="81" spans="1:22" ht="13.5" customHeight="1" thickTop="1" thickBot="1">
      <c r="A81" s="1232"/>
      <c r="B81" s="1215"/>
      <c r="C81" s="1215"/>
      <c r="D81" s="1215"/>
      <c r="E81" s="1215"/>
      <c r="F81" s="1215"/>
      <c r="G81" s="1215"/>
      <c r="H81" s="1215"/>
      <c r="I81" s="1215"/>
      <c r="J81" s="65"/>
      <c r="K81" s="65"/>
      <c r="L81" s="64"/>
      <c r="M81" s="65"/>
      <c r="N81" s="193"/>
      <c r="O81" s="65"/>
      <c r="P81" s="193"/>
      <c r="Q81" s="1228"/>
      <c r="R81" s="193"/>
      <c r="S81" s="193"/>
      <c r="T81" s="193"/>
      <c r="U81" s="1220"/>
    </row>
    <row r="82" spans="1:22" ht="7.5" customHeight="1" thickTop="1">
      <c r="A82" s="1825">
        <v>8</v>
      </c>
      <c r="B82" s="1864" t="s">
        <v>101</v>
      </c>
      <c r="C82" s="1865"/>
      <c r="D82" s="1865">
        <v>750</v>
      </c>
      <c r="E82" s="1865"/>
      <c r="F82" s="1871" t="s">
        <v>132</v>
      </c>
      <c r="G82" s="1871"/>
      <c r="H82" s="1871"/>
      <c r="I82" s="1871"/>
      <c r="J82" s="1822">
        <v>2012</v>
      </c>
      <c r="K82" s="1822">
        <v>2013</v>
      </c>
      <c r="L82" s="1818">
        <v>447150</v>
      </c>
      <c r="M82" s="1820" t="s">
        <v>120</v>
      </c>
      <c r="N82" s="1782">
        <f>IF(SUM(N86:N93)=T82,SUM(N86:N93),"wielbłąd")</f>
        <v>446400</v>
      </c>
      <c r="O82" s="1780" t="s">
        <v>112</v>
      </c>
      <c r="P82" s="1782">
        <f>SUM(P86:P93)</f>
        <v>29890</v>
      </c>
      <c r="Q82" s="1802">
        <f t="shared" ref="Q82:S82" si="5">SUM(Q86:Q93)</f>
        <v>416510</v>
      </c>
      <c r="R82" s="1782">
        <f t="shared" si="5"/>
        <v>0</v>
      </c>
      <c r="S82" s="1782">
        <f t="shared" si="5"/>
        <v>0</v>
      </c>
      <c r="T82" s="1774">
        <f>SUM(U86:U93)</f>
        <v>446400</v>
      </c>
      <c r="U82" s="1775"/>
    </row>
    <row r="83" spans="1:22" ht="12.75" customHeight="1">
      <c r="A83" s="1826"/>
      <c r="B83" s="1866"/>
      <c r="C83" s="1851"/>
      <c r="D83" s="1851"/>
      <c r="E83" s="1851"/>
      <c r="F83" s="1846"/>
      <c r="G83" s="1846"/>
      <c r="H83" s="1846"/>
      <c r="I83" s="1846"/>
      <c r="J83" s="1823"/>
      <c r="K83" s="1823"/>
      <c r="L83" s="1819"/>
      <c r="M83" s="1821"/>
      <c r="N83" s="1783"/>
      <c r="O83" s="1781"/>
      <c r="P83" s="1783"/>
      <c r="Q83" s="1803"/>
      <c r="R83" s="1783"/>
      <c r="S83" s="1783"/>
      <c r="T83" s="1776"/>
      <c r="U83" s="1777"/>
    </row>
    <row r="84" spans="1:22" ht="12" customHeight="1">
      <c r="A84" s="1826"/>
      <c r="B84" s="1876" t="s">
        <v>107</v>
      </c>
      <c r="C84" s="1781"/>
      <c r="D84" s="1781">
        <v>75023</v>
      </c>
      <c r="E84" s="1781"/>
      <c r="F84" s="1846" t="s">
        <v>133</v>
      </c>
      <c r="G84" s="1846"/>
      <c r="H84" s="1846"/>
      <c r="I84" s="1846"/>
      <c r="J84" s="1823"/>
      <c r="K84" s="1823"/>
      <c r="L84" s="1819"/>
      <c r="M84" s="1821"/>
      <c r="N84" s="1783"/>
      <c r="O84" s="1781"/>
      <c r="P84" s="1783"/>
      <c r="Q84" s="1803"/>
      <c r="R84" s="1783"/>
      <c r="S84" s="1783"/>
      <c r="T84" s="1776"/>
      <c r="U84" s="1777"/>
    </row>
    <row r="85" spans="1:22" ht="12.75" customHeight="1">
      <c r="A85" s="1826"/>
      <c r="B85" s="1877"/>
      <c r="C85" s="1832"/>
      <c r="D85" s="1832"/>
      <c r="E85" s="1832"/>
      <c r="F85" s="1847"/>
      <c r="G85" s="1847"/>
      <c r="H85" s="1847"/>
      <c r="I85" s="1847"/>
      <c r="J85" s="1823"/>
      <c r="K85" s="1823"/>
      <c r="L85" s="1819"/>
      <c r="M85" s="1821"/>
      <c r="N85" s="1783"/>
      <c r="O85" s="1781"/>
      <c r="P85" s="1783"/>
      <c r="Q85" s="1803"/>
      <c r="R85" s="1783"/>
      <c r="S85" s="1783"/>
      <c r="T85" s="1778"/>
      <c r="U85" s="1779"/>
    </row>
    <row r="86" spans="1:22">
      <c r="A86" s="1827"/>
      <c r="B86" s="1834" t="s">
        <v>134</v>
      </c>
      <c r="C86" s="1835"/>
      <c r="D86" s="1835"/>
      <c r="E86" s="1835"/>
      <c r="F86" s="1835"/>
      <c r="G86" s="1835"/>
      <c r="H86" s="1835"/>
      <c r="I86" s="1836"/>
      <c r="J86" s="1872"/>
      <c r="K86" s="1823"/>
      <c r="L86" s="1819"/>
      <c r="M86" s="1781" t="s">
        <v>122</v>
      </c>
      <c r="N86" s="1787">
        <f>SUM(P86:S89)</f>
        <v>0</v>
      </c>
      <c r="O86" s="1781" t="s">
        <v>112</v>
      </c>
      <c r="P86" s="1784">
        <v>0</v>
      </c>
      <c r="Q86" s="1799">
        <v>0</v>
      </c>
      <c r="R86" s="1787">
        <v>0</v>
      </c>
      <c r="S86" s="1787">
        <v>0</v>
      </c>
      <c r="T86" s="1770">
        <f>$P$6</f>
        <v>2013</v>
      </c>
      <c r="U86" s="1772">
        <f>P82</f>
        <v>29890</v>
      </c>
    </row>
    <row r="87" spans="1:22">
      <c r="A87" s="1827"/>
      <c r="B87" s="1837"/>
      <c r="C87" s="1838"/>
      <c r="D87" s="1838"/>
      <c r="E87" s="1838"/>
      <c r="F87" s="1838"/>
      <c r="G87" s="1838"/>
      <c r="H87" s="1838"/>
      <c r="I87" s="1839"/>
      <c r="J87" s="1872"/>
      <c r="K87" s="1823"/>
      <c r="L87" s="1819"/>
      <c r="M87" s="1781"/>
      <c r="N87" s="1787"/>
      <c r="O87" s="1781"/>
      <c r="P87" s="1785"/>
      <c r="Q87" s="1800"/>
      <c r="R87" s="1787"/>
      <c r="S87" s="1787"/>
      <c r="T87" s="1771"/>
      <c r="U87" s="1767"/>
    </row>
    <row r="88" spans="1:22" ht="3" customHeight="1">
      <c r="A88" s="1827"/>
      <c r="B88" s="1837"/>
      <c r="C88" s="1838"/>
      <c r="D88" s="1838"/>
      <c r="E88" s="1838"/>
      <c r="F88" s="1838"/>
      <c r="G88" s="1838"/>
      <c r="H88" s="1838"/>
      <c r="I88" s="1839"/>
      <c r="J88" s="1872"/>
      <c r="K88" s="1823"/>
      <c r="L88" s="1783">
        <v>45150</v>
      </c>
      <c r="M88" s="1781"/>
      <c r="N88" s="1787"/>
      <c r="O88" s="1781"/>
      <c r="P88" s="1785"/>
      <c r="Q88" s="1800"/>
      <c r="R88" s="1787"/>
      <c r="S88" s="1787"/>
      <c r="T88" s="1768">
        <f>$Q$6</f>
        <v>2014</v>
      </c>
      <c r="U88" s="1767">
        <f>Q82</f>
        <v>416510</v>
      </c>
    </row>
    <row r="89" spans="1:22" ht="12.75" customHeight="1">
      <c r="A89" s="1827"/>
      <c r="B89" s="1840"/>
      <c r="C89" s="1841"/>
      <c r="D89" s="1841"/>
      <c r="E89" s="1841"/>
      <c r="F89" s="1841"/>
      <c r="G89" s="1841"/>
      <c r="H89" s="1841"/>
      <c r="I89" s="1842"/>
      <c r="J89" s="1872"/>
      <c r="K89" s="1823"/>
      <c r="L89" s="1783"/>
      <c r="M89" s="1781"/>
      <c r="N89" s="1784"/>
      <c r="O89" s="1781"/>
      <c r="P89" s="1786"/>
      <c r="Q89" s="1817"/>
      <c r="R89" s="1787"/>
      <c r="S89" s="1787"/>
      <c r="T89" s="1768"/>
      <c r="U89" s="1767"/>
    </row>
    <row r="90" spans="1:22">
      <c r="A90" s="1827"/>
      <c r="B90" s="1852" t="s">
        <v>525</v>
      </c>
      <c r="C90" s="1853"/>
      <c r="D90" s="1853"/>
      <c r="E90" s="1853"/>
      <c r="F90" s="1853"/>
      <c r="G90" s="1853"/>
      <c r="H90" s="1853"/>
      <c r="I90" s="1854"/>
      <c r="J90" s="1823"/>
      <c r="K90" s="1823"/>
      <c r="L90" s="1783"/>
      <c r="M90" s="1832" t="s">
        <v>123</v>
      </c>
      <c r="N90" s="1787">
        <f>SUM(P90:S93)</f>
        <v>446400</v>
      </c>
      <c r="O90" s="1781" t="s">
        <v>112</v>
      </c>
      <c r="P90" s="1784">
        <v>29890</v>
      </c>
      <c r="Q90" s="1799">
        <v>416510</v>
      </c>
      <c r="R90" s="1787">
        <v>0</v>
      </c>
      <c r="S90" s="1787">
        <v>0</v>
      </c>
      <c r="T90" s="1768">
        <f>$R$6</f>
        <v>2015</v>
      </c>
      <c r="U90" s="1767">
        <f>R82</f>
        <v>0</v>
      </c>
    </row>
    <row r="91" spans="1:22" ht="1.5" customHeight="1">
      <c r="A91" s="1827"/>
      <c r="B91" s="1852"/>
      <c r="C91" s="1853"/>
      <c r="D91" s="1853"/>
      <c r="E91" s="1853"/>
      <c r="F91" s="1853"/>
      <c r="G91" s="1853"/>
      <c r="H91" s="1853"/>
      <c r="I91" s="1854"/>
      <c r="J91" s="1823"/>
      <c r="K91" s="1823"/>
      <c r="L91" s="1783"/>
      <c r="M91" s="1823"/>
      <c r="N91" s="1787"/>
      <c r="O91" s="1781"/>
      <c r="P91" s="1785"/>
      <c r="Q91" s="1800"/>
      <c r="R91" s="1787"/>
      <c r="S91" s="1787"/>
      <c r="T91" s="1768"/>
      <c r="U91" s="1767"/>
    </row>
    <row r="92" spans="1:22" ht="7.5" customHeight="1">
      <c r="A92" s="1827"/>
      <c r="B92" s="1852"/>
      <c r="C92" s="1853"/>
      <c r="D92" s="1853"/>
      <c r="E92" s="1853"/>
      <c r="F92" s="1853"/>
      <c r="G92" s="1853"/>
      <c r="H92" s="1853"/>
      <c r="I92" s="1854"/>
      <c r="J92" s="1823"/>
      <c r="K92" s="1823"/>
      <c r="L92" s="1783"/>
      <c r="M92" s="1823"/>
      <c r="N92" s="1787"/>
      <c r="O92" s="1781"/>
      <c r="P92" s="1785"/>
      <c r="Q92" s="1800"/>
      <c r="R92" s="1787"/>
      <c r="S92" s="1787"/>
      <c r="T92" s="1768">
        <f>$S$6</f>
        <v>2016</v>
      </c>
      <c r="U92" s="1767">
        <f>S82</f>
        <v>0</v>
      </c>
    </row>
    <row r="93" spans="1:22" ht="8.25" customHeight="1" thickBot="1">
      <c r="A93" s="1863"/>
      <c r="B93" s="1855"/>
      <c r="C93" s="1856"/>
      <c r="D93" s="1856"/>
      <c r="E93" s="1856"/>
      <c r="F93" s="1856"/>
      <c r="G93" s="1856"/>
      <c r="H93" s="1856"/>
      <c r="I93" s="1857"/>
      <c r="J93" s="1824"/>
      <c r="K93" s="1824"/>
      <c r="L93" s="1858"/>
      <c r="M93" s="1824"/>
      <c r="N93" s="1788"/>
      <c r="O93" s="1896"/>
      <c r="P93" s="1798"/>
      <c r="Q93" s="1801"/>
      <c r="R93" s="1788"/>
      <c r="S93" s="1788"/>
      <c r="T93" s="1769"/>
      <c r="U93" s="1773"/>
    </row>
    <row r="94" spans="1:22" ht="13.5" customHeight="1" thickTop="1" thickBot="1">
      <c r="A94" s="1232"/>
      <c r="B94" s="1215"/>
      <c r="C94" s="1215"/>
      <c r="D94" s="1215"/>
      <c r="E94" s="1215"/>
      <c r="F94" s="1215"/>
      <c r="G94" s="1215"/>
      <c r="H94" s="1215"/>
      <c r="I94" s="1215"/>
      <c r="J94" s="65"/>
      <c r="K94" s="65"/>
      <c r="L94" s="64"/>
      <c r="M94" s="65"/>
      <c r="N94" s="193"/>
      <c r="O94" s="65"/>
      <c r="P94" s="193"/>
      <c r="Q94" s="1228"/>
      <c r="R94" s="193"/>
      <c r="S94" s="193"/>
      <c r="T94" s="1219"/>
      <c r="U94" s="1220"/>
      <c r="V94"/>
    </row>
    <row r="95" spans="1:22" ht="13.5" thickTop="1">
      <c r="A95" s="1825">
        <v>9</v>
      </c>
      <c r="B95" s="1864" t="s">
        <v>101</v>
      </c>
      <c r="C95" s="1865"/>
      <c r="D95" s="1865">
        <v>900</v>
      </c>
      <c r="E95" s="1865"/>
      <c r="F95" s="1871" t="s">
        <v>334</v>
      </c>
      <c r="G95" s="1871"/>
      <c r="H95" s="1871"/>
      <c r="I95" s="1871"/>
      <c r="J95" s="1822">
        <v>2013</v>
      </c>
      <c r="K95" s="1822">
        <v>2015</v>
      </c>
      <c r="L95" s="1818">
        <v>51753219.75</v>
      </c>
      <c r="M95" s="1820" t="s">
        <v>120</v>
      </c>
      <c r="N95" s="1782">
        <f>IF(SUM(N99:N110)=T95,SUM(N99:N110),"wielbłąd")</f>
        <v>51733540</v>
      </c>
      <c r="O95" s="1780" t="s">
        <v>112</v>
      </c>
      <c r="P95" s="1782">
        <f t="shared" ref="P95" si="6">SUM(P99:P110)</f>
        <v>9358361</v>
      </c>
      <c r="Q95" s="1802">
        <f t="shared" ref="Q95:S95" si="7">SUM(Q99:Q110)</f>
        <v>37657577</v>
      </c>
      <c r="R95" s="1782">
        <f t="shared" si="7"/>
        <v>4717602</v>
      </c>
      <c r="S95" s="1782">
        <f t="shared" si="7"/>
        <v>0</v>
      </c>
      <c r="T95" s="1774">
        <f>SUM(U99:U106)</f>
        <v>51733540</v>
      </c>
      <c r="U95" s="1775"/>
      <c r="V95"/>
    </row>
    <row r="96" spans="1:22" ht="12.75" customHeight="1">
      <c r="A96" s="1826"/>
      <c r="B96" s="1866"/>
      <c r="C96" s="1851"/>
      <c r="D96" s="1851"/>
      <c r="E96" s="1851"/>
      <c r="F96" s="1846"/>
      <c r="G96" s="1846"/>
      <c r="H96" s="1846"/>
      <c r="I96" s="1846"/>
      <c r="J96" s="1823"/>
      <c r="K96" s="1823"/>
      <c r="L96" s="1819"/>
      <c r="M96" s="1821"/>
      <c r="N96" s="1783"/>
      <c r="O96" s="1781"/>
      <c r="P96" s="1783"/>
      <c r="Q96" s="1803"/>
      <c r="R96" s="1783"/>
      <c r="S96" s="1783"/>
      <c r="T96" s="1776"/>
      <c r="U96" s="1777"/>
      <c r="V96"/>
    </row>
    <row r="97" spans="1:22">
      <c r="A97" s="1826"/>
      <c r="B97" s="1876" t="s">
        <v>107</v>
      </c>
      <c r="C97" s="1781"/>
      <c r="D97" s="1781">
        <v>90002</v>
      </c>
      <c r="E97" s="1781"/>
      <c r="F97" s="1846" t="s">
        <v>335</v>
      </c>
      <c r="G97" s="1846"/>
      <c r="H97" s="1846"/>
      <c r="I97" s="1846"/>
      <c r="J97" s="1823"/>
      <c r="K97" s="1823"/>
      <c r="L97" s="1819"/>
      <c r="M97" s="1821"/>
      <c r="N97" s="1783"/>
      <c r="O97" s="1781"/>
      <c r="P97" s="1783"/>
      <c r="Q97" s="1803"/>
      <c r="R97" s="1783"/>
      <c r="S97" s="1783"/>
      <c r="T97" s="1776"/>
      <c r="U97" s="1777"/>
      <c r="V97"/>
    </row>
    <row r="98" spans="1:22" ht="12.75" customHeight="1">
      <c r="A98" s="1826"/>
      <c r="B98" s="1877"/>
      <c r="C98" s="1832"/>
      <c r="D98" s="1832"/>
      <c r="E98" s="1832"/>
      <c r="F98" s="1847"/>
      <c r="G98" s="1847"/>
      <c r="H98" s="1847"/>
      <c r="I98" s="1847"/>
      <c r="J98" s="1823"/>
      <c r="K98" s="1823"/>
      <c r="L98" s="1819"/>
      <c r="M98" s="1821"/>
      <c r="N98" s="1783"/>
      <c r="O98" s="1781"/>
      <c r="P98" s="1783"/>
      <c r="Q98" s="1803"/>
      <c r="R98" s="1783"/>
      <c r="S98" s="1783"/>
      <c r="T98" s="1778"/>
      <c r="U98" s="1779"/>
      <c r="V98"/>
    </row>
    <row r="99" spans="1:22">
      <c r="A99" s="1827"/>
      <c r="B99" s="1834" t="s">
        <v>325</v>
      </c>
      <c r="C99" s="1835"/>
      <c r="D99" s="1835"/>
      <c r="E99" s="1835"/>
      <c r="F99" s="1835"/>
      <c r="G99" s="1835"/>
      <c r="H99" s="1835"/>
      <c r="I99" s="1836"/>
      <c r="J99" s="1872"/>
      <c r="K99" s="1823"/>
      <c r="L99" s="1819"/>
      <c r="M99" s="1781" t="s">
        <v>122</v>
      </c>
      <c r="N99" s="1787">
        <f>SUM(P99:S102)</f>
        <v>43970045</v>
      </c>
      <c r="O99" s="1781" t="s">
        <v>112</v>
      </c>
      <c r="P99" s="1784">
        <v>7967967</v>
      </c>
      <c r="Q99" s="1799">
        <f>31997724+1</f>
        <v>31997725</v>
      </c>
      <c r="R99" s="1787">
        <v>4004353</v>
      </c>
      <c r="S99" s="1787">
        <v>0</v>
      </c>
      <c r="T99" s="1770">
        <f>$P$6</f>
        <v>2013</v>
      </c>
      <c r="U99" s="1772">
        <f>P95</f>
        <v>9358361</v>
      </c>
      <c r="V99"/>
    </row>
    <row r="100" spans="1:22">
      <c r="A100" s="1827"/>
      <c r="B100" s="1837"/>
      <c r="C100" s="1838"/>
      <c r="D100" s="1838"/>
      <c r="E100" s="1838"/>
      <c r="F100" s="1838"/>
      <c r="G100" s="1838"/>
      <c r="H100" s="1838"/>
      <c r="I100" s="1839"/>
      <c r="J100" s="1872"/>
      <c r="K100" s="1823"/>
      <c r="L100" s="1819"/>
      <c r="M100" s="1781"/>
      <c r="N100" s="1787"/>
      <c r="O100" s="1781"/>
      <c r="P100" s="1785"/>
      <c r="Q100" s="1800"/>
      <c r="R100" s="1787"/>
      <c r="S100" s="1787"/>
      <c r="T100" s="1771"/>
      <c r="U100" s="1767"/>
      <c r="V100"/>
    </row>
    <row r="101" spans="1:22">
      <c r="A101" s="1827"/>
      <c r="B101" s="1837"/>
      <c r="C101" s="1838"/>
      <c r="D101" s="1838"/>
      <c r="E101" s="1838"/>
      <c r="F101" s="1838"/>
      <c r="G101" s="1838"/>
      <c r="H101" s="1838"/>
      <c r="I101" s="1839"/>
      <c r="J101" s="1872"/>
      <c r="K101" s="1823"/>
      <c r="L101" s="1783">
        <v>19680</v>
      </c>
      <c r="M101" s="1781"/>
      <c r="N101" s="1787"/>
      <c r="O101" s="1781"/>
      <c r="P101" s="1785"/>
      <c r="Q101" s="1800"/>
      <c r="R101" s="1787"/>
      <c r="S101" s="1787"/>
      <c r="T101" s="1768">
        <f>$Q$6</f>
        <v>2014</v>
      </c>
      <c r="U101" s="1804">
        <f>Q95</f>
        <v>37657577</v>
      </c>
      <c r="V101"/>
    </row>
    <row r="102" spans="1:22">
      <c r="A102" s="1827"/>
      <c r="B102" s="1840"/>
      <c r="C102" s="1841"/>
      <c r="D102" s="1841"/>
      <c r="E102" s="1841"/>
      <c r="F102" s="1841"/>
      <c r="G102" s="1841"/>
      <c r="H102" s="1841"/>
      <c r="I102" s="1842"/>
      <c r="J102" s="1872"/>
      <c r="K102" s="1823"/>
      <c r="L102" s="1783"/>
      <c r="M102" s="1832"/>
      <c r="N102" s="1784"/>
      <c r="O102" s="1832"/>
      <c r="P102" s="1785"/>
      <c r="Q102" s="1800"/>
      <c r="R102" s="1784"/>
      <c r="S102" s="1784"/>
      <c r="T102" s="1768"/>
      <c r="U102" s="1804"/>
      <c r="V102"/>
    </row>
    <row r="103" spans="1:22" ht="4.5" customHeight="1">
      <c r="A103" s="1827"/>
      <c r="B103" s="1805" t="s">
        <v>526</v>
      </c>
      <c r="C103" s="1806"/>
      <c r="D103" s="1806"/>
      <c r="E103" s="1806"/>
      <c r="F103" s="1806"/>
      <c r="G103" s="1806"/>
      <c r="H103" s="1806"/>
      <c r="I103" s="1807"/>
      <c r="J103" s="1872"/>
      <c r="K103" s="1823"/>
      <c r="L103" s="1933"/>
      <c r="M103" s="1934" t="s">
        <v>520</v>
      </c>
      <c r="N103" s="1937">
        <f>SUM(P103:S106)</f>
        <v>6213157</v>
      </c>
      <c r="O103" s="1781" t="s">
        <v>112</v>
      </c>
      <c r="P103" s="1784">
        <v>1271396</v>
      </c>
      <c r="Q103" s="1799">
        <v>4941761</v>
      </c>
      <c r="R103" s="1787">
        <v>0</v>
      </c>
      <c r="S103" s="1787">
        <v>0</v>
      </c>
      <c r="T103" s="1768">
        <f>$R$6</f>
        <v>2015</v>
      </c>
      <c r="U103" s="1767">
        <f>R95</f>
        <v>4717602</v>
      </c>
      <c r="V103"/>
    </row>
    <row r="104" spans="1:22">
      <c r="A104" s="1827"/>
      <c r="B104" s="1808"/>
      <c r="C104" s="1809"/>
      <c r="D104" s="1809"/>
      <c r="E104" s="1809"/>
      <c r="F104" s="1809"/>
      <c r="G104" s="1809"/>
      <c r="H104" s="1809"/>
      <c r="I104" s="1810"/>
      <c r="J104" s="1872"/>
      <c r="K104" s="1823"/>
      <c r="L104" s="1933"/>
      <c r="M104" s="1935"/>
      <c r="N104" s="1937"/>
      <c r="O104" s="1781"/>
      <c r="P104" s="1785"/>
      <c r="Q104" s="1800"/>
      <c r="R104" s="1787"/>
      <c r="S104" s="1787"/>
      <c r="T104" s="1768"/>
      <c r="U104" s="1767"/>
      <c r="V104"/>
    </row>
    <row r="105" spans="1:22" ht="4.5" customHeight="1">
      <c r="A105" s="1827"/>
      <c r="B105" s="1808"/>
      <c r="C105" s="1809"/>
      <c r="D105" s="1809"/>
      <c r="E105" s="1809"/>
      <c r="F105" s="1809"/>
      <c r="G105" s="1809"/>
      <c r="H105" s="1809"/>
      <c r="I105" s="1810"/>
      <c r="J105" s="1872"/>
      <c r="K105" s="1823"/>
      <c r="L105" s="1933"/>
      <c r="M105" s="1935"/>
      <c r="N105" s="1937"/>
      <c r="O105" s="1781"/>
      <c r="P105" s="1785"/>
      <c r="Q105" s="1800"/>
      <c r="R105" s="1787"/>
      <c r="S105" s="1787"/>
      <c r="T105" s="1768">
        <f>$S$6</f>
        <v>2016</v>
      </c>
      <c r="U105" s="1767">
        <f>S95</f>
        <v>0</v>
      </c>
      <c r="V105"/>
    </row>
    <row r="106" spans="1:22" ht="7.5" customHeight="1">
      <c r="A106" s="1827"/>
      <c r="B106" s="1808"/>
      <c r="C106" s="1809"/>
      <c r="D106" s="1809"/>
      <c r="E106" s="1809"/>
      <c r="F106" s="1809"/>
      <c r="G106" s="1809"/>
      <c r="H106" s="1809"/>
      <c r="I106" s="1810"/>
      <c r="J106" s="1872"/>
      <c r="K106" s="1823"/>
      <c r="L106" s="1933"/>
      <c r="M106" s="1936"/>
      <c r="N106" s="1937"/>
      <c r="O106" s="1781"/>
      <c r="P106" s="1786"/>
      <c r="Q106" s="1817"/>
      <c r="R106" s="1787"/>
      <c r="S106" s="1787"/>
      <c r="T106" s="1768"/>
      <c r="U106" s="1767"/>
      <c r="V106"/>
    </row>
    <row r="107" spans="1:22" ht="12" customHeight="1">
      <c r="A107" s="1827"/>
      <c r="B107" s="1808"/>
      <c r="C107" s="1809"/>
      <c r="D107" s="1809"/>
      <c r="E107" s="1809"/>
      <c r="F107" s="1809"/>
      <c r="G107" s="1809"/>
      <c r="H107" s="1809"/>
      <c r="I107" s="1810"/>
      <c r="J107" s="1823"/>
      <c r="K107" s="1823"/>
      <c r="L107" s="1783"/>
      <c r="M107" s="1823" t="s">
        <v>123</v>
      </c>
      <c r="N107" s="1786">
        <f>SUM(P107:S110)</f>
        <v>1550338</v>
      </c>
      <c r="O107" s="1895" t="s">
        <v>112</v>
      </c>
      <c r="P107" s="1785">
        <v>118998</v>
      </c>
      <c r="Q107" s="1800">
        <v>718091</v>
      </c>
      <c r="R107" s="1786">
        <v>713249</v>
      </c>
      <c r="S107" s="1930">
        <v>0</v>
      </c>
      <c r="T107" s="1236"/>
      <c r="U107" s="1237"/>
      <c r="V107"/>
    </row>
    <row r="108" spans="1:22">
      <c r="A108" s="1827"/>
      <c r="B108" s="1808"/>
      <c r="C108" s="1809"/>
      <c r="D108" s="1809"/>
      <c r="E108" s="1809"/>
      <c r="F108" s="1809"/>
      <c r="G108" s="1809"/>
      <c r="H108" s="1809"/>
      <c r="I108" s="1810"/>
      <c r="J108" s="1823"/>
      <c r="K108" s="1823"/>
      <c r="L108" s="1783"/>
      <c r="M108" s="1823"/>
      <c r="N108" s="1787"/>
      <c r="O108" s="1781"/>
      <c r="P108" s="1785"/>
      <c r="Q108" s="1800"/>
      <c r="R108" s="1787"/>
      <c r="S108" s="1931"/>
      <c r="T108" s="1238"/>
      <c r="U108" s="1239"/>
      <c r="V108"/>
    </row>
    <row r="109" spans="1:22" ht="3.75" customHeight="1">
      <c r="A109" s="1827"/>
      <c r="B109" s="1808"/>
      <c r="C109" s="1809"/>
      <c r="D109" s="1809"/>
      <c r="E109" s="1809"/>
      <c r="F109" s="1809"/>
      <c r="G109" s="1809"/>
      <c r="H109" s="1809"/>
      <c r="I109" s="1810"/>
      <c r="J109" s="1823"/>
      <c r="K109" s="1823"/>
      <c r="L109" s="1783"/>
      <c r="M109" s="1823"/>
      <c r="N109" s="1787"/>
      <c r="O109" s="1781"/>
      <c r="P109" s="1785"/>
      <c r="Q109" s="1800"/>
      <c r="R109" s="1787"/>
      <c r="S109" s="1931"/>
      <c r="T109" s="1238"/>
      <c r="U109" s="1239"/>
      <c r="V109"/>
    </row>
    <row r="110" spans="1:22" ht="12.75" customHeight="1" thickBot="1">
      <c r="A110" s="1863"/>
      <c r="B110" s="1811"/>
      <c r="C110" s="1812"/>
      <c r="D110" s="1812"/>
      <c r="E110" s="1812"/>
      <c r="F110" s="1812"/>
      <c r="G110" s="1812"/>
      <c r="H110" s="1812"/>
      <c r="I110" s="1813"/>
      <c r="J110" s="1824"/>
      <c r="K110" s="1824"/>
      <c r="L110" s="1858"/>
      <c r="M110" s="1824"/>
      <c r="N110" s="1788"/>
      <c r="O110" s="1896"/>
      <c r="P110" s="1798"/>
      <c r="Q110" s="1801"/>
      <c r="R110" s="1788"/>
      <c r="S110" s="1932"/>
      <c r="T110" s="1240"/>
      <c r="U110" s="1241"/>
    </row>
    <row r="111" spans="1:22" ht="7.5" customHeight="1" thickTop="1" thickBot="1">
      <c r="A111" s="1232"/>
      <c r="B111" s="1215"/>
      <c r="C111" s="1215"/>
      <c r="D111" s="1215"/>
      <c r="E111" s="1215"/>
      <c r="F111" s="1215"/>
      <c r="G111" s="1215"/>
      <c r="H111" s="1215"/>
      <c r="I111" s="1215"/>
      <c r="J111" s="65"/>
      <c r="K111" s="65"/>
      <c r="L111" s="64"/>
      <c r="M111" s="65"/>
      <c r="N111" s="193"/>
      <c r="O111" s="65"/>
      <c r="P111" s="193"/>
      <c r="Q111" s="1228"/>
      <c r="R111" s="193"/>
      <c r="S111" s="193"/>
      <c r="T111" s="1219"/>
      <c r="U111" s="1220"/>
    </row>
    <row r="112" spans="1:22" ht="12.75" customHeight="1" thickTop="1">
      <c r="A112" s="1825">
        <v>10</v>
      </c>
      <c r="B112" s="1864" t="s">
        <v>101</v>
      </c>
      <c r="C112" s="1865"/>
      <c r="D112" s="1865">
        <v>600</v>
      </c>
      <c r="E112" s="1865"/>
      <c r="F112" s="1871" t="s">
        <v>124</v>
      </c>
      <c r="G112" s="1871"/>
      <c r="H112" s="1871"/>
      <c r="I112" s="1871"/>
      <c r="J112" s="1822">
        <v>2012</v>
      </c>
      <c r="K112" s="1822">
        <v>2014</v>
      </c>
      <c r="L112" s="1818">
        <v>3184320</v>
      </c>
      <c r="M112" s="1820" t="s">
        <v>120</v>
      </c>
      <c r="N112" s="1782">
        <f>IF(SUM(N116:N123)=T112,SUM(N116:N123),"wielbłąd")</f>
        <v>2974852</v>
      </c>
      <c r="O112" s="1780" t="s">
        <v>112</v>
      </c>
      <c r="P112" s="1782">
        <f t="shared" ref="P112" si="8">SUM(P116:P123)</f>
        <v>0</v>
      </c>
      <c r="Q112" s="1802">
        <f t="shared" ref="Q112:S112" si="9">SUM(Q116:Q123)</f>
        <v>2974852</v>
      </c>
      <c r="R112" s="1782">
        <f t="shared" si="9"/>
        <v>0</v>
      </c>
      <c r="S112" s="1782">
        <f t="shared" si="9"/>
        <v>0</v>
      </c>
      <c r="T112" s="1774">
        <f>SUM(U116:U123)</f>
        <v>2974852</v>
      </c>
      <c r="U112" s="1775"/>
    </row>
    <row r="113" spans="1:21" ht="12.75" customHeight="1">
      <c r="A113" s="1826"/>
      <c r="B113" s="1866"/>
      <c r="C113" s="1851"/>
      <c r="D113" s="1851"/>
      <c r="E113" s="1851"/>
      <c r="F113" s="1846"/>
      <c r="G113" s="1846"/>
      <c r="H113" s="1846"/>
      <c r="I113" s="1846"/>
      <c r="J113" s="1823"/>
      <c r="K113" s="1823"/>
      <c r="L113" s="1819"/>
      <c r="M113" s="1821"/>
      <c r="N113" s="1783"/>
      <c r="O113" s="1781"/>
      <c r="P113" s="1783"/>
      <c r="Q113" s="1803"/>
      <c r="R113" s="1783"/>
      <c r="S113" s="1783"/>
      <c r="T113" s="1776"/>
      <c r="U113" s="1777"/>
    </row>
    <row r="114" spans="1:21" ht="11.25" customHeight="1">
      <c r="A114" s="1826"/>
      <c r="B114" s="1876" t="s">
        <v>107</v>
      </c>
      <c r="C114" s="1781"/>
      <c r="D114" s="1781">
        <v>60013</v>
      </c>
      <c r="E114" s="1781"/>
      <c r="F114" s="1846" t="s">
        <v>357</v>
      </c>
      <c r="G114" s="1846"/>
      <c r="H114" s="1846"/>
      <c r="I114" s="1846"/>
      <c r="J114" s="1823"/>
      <c r="K114" s="1823"/>
      <c r="L114" s="1819"/>
      <c r="M114" s="1821"/>
      <c r="N114" s="1783"/>
      <c r="O114" s="1781"/>
      <c r="P114" s="1783"/>
      <c r="Q114" s="1803"/>
      <c r="R114" s="1783"/>
      <c r="S114" s="1783"/>
      <c r="T114" s="1776"/>
      <c r="U114" s="1777"/>
    </row>
    <row r="115" spans="1:21" ht="12.75" customHeight="1">
      <c r="A115" s="1826"/>
      <c r="B115" s="1877"/>
      <c r="C115" s="1832"/>
      <c r="D115" s="1832"/>
      <c r="E115" s="1832"/>
      <c r="F115" s="1847"/>
      <c r="G115" s="1847"/>
      <c r="H115" s="1847"/>
      <c r="I115" s="1847"/>
      <c r="J115" s="1823"/>
      <c r="K115" s="1823"/>
      <c r="L115" s="1819"/>
      <c r="M115" s="1821"/>
      <c r="N115" s="1783"/>
      <c r="O115" s="1781"/>
      <c r="P115" s="1783"/>
      <c r="Q115" s="1803"/>
      <c r="R115" s="1783"/>
      <c r="S115" s="1783"/>
      <c r="T115" s="1778"/>
      <c r="U115" s="1779"/>
    </row>
    <row r="116" spans="1:21" ht="12.75" customHeight="1">
      <c r="A116" s="1827"/>
      <c r="B116" s="1834" t="s">
        <v>358</v>
      </c>
      <c r="C116" s="1835"/>
      <c r="D116" s="1835"/>
      <c r="E116" s="1835"/>
      <c r="F116" s="1835"/>
      <c r="G116" s="1835"/>
      <c r="H116" s="1835"/>
      <c r="I116" s="1836"/>
      <c r="J116" s="1872"/>
      <c r="K116" s="1823"/>
      <c r="L116" s="1819"/>
      <c r="M116" s="1781" t="s">
        <v>359</v>
      </c>
      <c r="N116" s="1787">
        <f>SUM(P116:S119)</f>
        <v>2265836</v>
      </c>
      <c r="O116" s="1781" t="s">
        <v>112</v>
      </c>
      <c r="P116" s="1784">
        <v>0</v>
      </c>
      <c r="Q116" s="1799">
        <v>2265836</v>
      </c>
      <c r="R116" s="1787">
        <v>0</v>
      </c>
      <c r="S116" s="1787">
        <v>0</v>
      </c>
      <c r="T116" s="1770">
        <f>$P$6</f>
        <v>2013</v>
      </c>
      <c r="U116" s="1772">
        <f>P112</f>
        <v>0</v>
      </c>
    </row>
    <row r="117" spans="1:21" ht="18.75" customHeight="1">
      <c r="A117" s="1827"/>
      <c r="B117" s="1837"/>
      <c r="C117" s="1838"/>
      <c r="D117" s="1838"/>
      <c r="E117" s="1838"/>
      <c r="F117" s="1838"/>
      <c r="G117" s="1838"/>
      <c r="H117" s="1838"/>
      <c r="I117" s="1839"/>
      <c r="J117" s="1872"/>
      <c r="K117" s="1823"/>
      <c r="L117" s="1819"/>
      <c r="M117" s="1781"/>
      <c r="N117" s="1787"/>
      <c r="O117" s="1781"/>
      <c r="P117" s="1785"/>
      <c r="Q117" s="1800"/>
      <c r="R117" s="1787"/>
      <c r="S117" s="1787"/>
      <c r="T117" s="1771"/>
      <c r="U117" s="1767"/>
    </row>
    <row r="118" spans="1:21" ht="12.75" customHeight="1">
      <c r="A118" s="1827"/>
      <c r="B118" s="1837"/>
      <c r="C118" s="1838"/>
      <c r="D118" s="1838"/>
      <c r="E118" s="1838"/>
      <c r="F118" s="1838"/>
      <c r="G118" s="1838"/>
      <c r="H118" s="1838"/>
      <c r="I118" s="1839"/>
      <c r="J118" s="1872"/>
      <c r="K118" s="1823"/>
      <c r="L118" s="1783">
        <v>209468</v>
      </c>
      <c r="M118" s="1781"/>
      <c r="N118" s="1787"/>
      <c r="O118" s="1781"/>
      <c r="P118" s="1785"/>
      <c r="Q118" s="1800"/>
      <c r="R118" s="1787"/>
      <c r="S118" s="1787"/>
      <c r="T118" s="1768">
        <f>$Q$6</f>
        <v>2014</v>
      </c>
      <c r="U118" s="1767">
        <f>Q112</f>
        <v>2974852</v>
      </c>
    </row>
    <row r="119" spans="1:21" ht="12.75" customHeight="1">
      <c r="A119" s="1827"/>
      <c r="B119" s="1840"/>
      <c r="C119" s="1841"/>
      <c r="D119" s="1841"/>
      <c r="E119" s="1841"/>
      <c r="F119" s="1841"/>
      <c r="G119" s="1841"/>
      <c r="H119" s="1841"/>
      <c r="I119" s="1842"/>
      <c r="J119" s="1872"/>
      <c r="K119" s="1823"/>
      <c r="L119" s="1783"/>
      <c r="M119" s="1781"/>
      <c r="N119" s="1784"/>
      <c r="O119" s="1781"/>
      <c r="P119" s="1786"/>
      <c r="Q119" s="1817"/>
      <c r="R119" s="1787"/>
      <c r="S119" s="1787"/>
      <c r="T119" s="1768"/>
      <c r="U119" s="1767"/>
    </row>
    <row r="120" spans="1:21" ht="12.75" customHeight="1">
      <c r="A120" s="1827"/>
      <c r="B120" s="1852" t="s">
        <v>527</v>
      </c>
      <c r="C120" s="1853"/>
      <c r="D120" s="1853"/>
      <c r="E120" s="1853"/>
      <c r="F120" s="1853"/>
      <c r="G120" s="1853"/>
      <c r="H120" s="1853"/>
      <c r="I120" s="1854"/>
      <c r="J120" s="1823"/>
      <c r="K120" s="1823"/>
      <c r="L120" s="1783"/>
      <c r="M120" s="1832" t="s">
        <v>123</v>
      </c>
      <c r="N120" s="1787">
        <f>SUM(P120:S123)</f>
        <v>709016</v>
      </c>
      <c r="O120" s="1781" t="s">
        <v>112</v>
      </c>
      <c r="P120" s="1784">
        <v>0</v>
      </c>
      <c r="Q120" s="1799">
        <v>709016</v>
      </c>
      <c r="R120" s="1787">
        <v>0</v>
      </c>
      <c r="S120" s="1787">
        <v>0</v>
      </c>
      <c r="T120" s="1768">
        <f>$R$6</f>
        <v>2015</v>
      </c>
      <c r="U120" s="1767">
        <f>R112</f>
        <v>0</v>
      </c>
    </row>
    <row r="121" spans="1:21" ht="2.25" customHeight="1">
      <c r="A121" s="1827"/>
      <c r="B121" s="1852"/>
      <c r="C121" s="1853"/>
      <c r="D121" s="1853"/>
      <c r="E121" s="1853"/>
      <c r="F121" s="1853"/>
      <c r="G121" s="1853"/>
      <c r="H121" s="1853"/>
      <c r="I121" s="1854"/>
      <c r="J121" s="1823"/>
      <c r="K121" s="1823"/>
      <c r="L121" s="1783"/>
      <c r="M121" s="1823"/>
      <c r="N121" s="1787"/>
      <c r="O121" s="1781"/>
      <c r="P121" s="1785"/>
      <c r="Q121" s="1800"/>
      <c r="R121" s="1787"/>
      <c r="S121" s="1787"/>
      <c r="T121" s="1768"/>
      <c r="U121" s="1767"/>
    </row>
    <row r="122" spans="1:21" ht="13.5" customHeight="1">
      <c r="A122" s="1827"/>
      <c r="B122" s="1852"/>
      <c r="C122" s="1853"/>
      <c r="D122" s="1853"/>
      <c r="E122" s="1853"/>
      <c r="F122" s="1853"/>
      <c r="G122" s="1853"/>
      <c r="H122" s="1853"/>
      <c r="I122" s="1854"/>
      <c r="J122" s="1823"/>
      <c r="K122" s="1823"/>
      <c r="L122" s="1783"/>
      <c r="M122" s="1823"/>
      <c r="N122" s="1787"/>
      <c r="O122" s="1781"/>
      <c r="P122" s="1785"/>
      <c r="Q122" s="1800"/>
      <c r="R122" s="1787"/>
      <c r="S122" s="1787"/>
      <c r="T122" s="1768">
        <f>$S$6</f>
        <v>2016</v>
      </c>
      <c r="U122" s="1767">
        <f>S112</f>
        <v>0</v>
      </c>
    </row>
    <row r="123" spans="1:21" ht="13.5" thickBot="1">
      <c r="A123" s="1863"/>
      <c r="B123" s="1855"/>
      <c r="C123" s="1856"/>
      <c r="D123" s="1856"/>
      <c r="E123" s="1856"/>
      <c r="F123" s="1856"/>
      <c r="G123" s="1856"/>
      <c r="H123" s="1856"/>
      <c r="I123" s="1857"/>
      <c r="J123" s="1824"/>
      <c r="K123" s="1824"/>
      <c r="L123" s="1858"/>
      <c r="M123" s="1824"/>
      <c r="N123" s="1788"/>
      <c r="O123" s="1896"/>
      <c r="P123" s="1798"/>
      <c r="Q123" s="1801"/>
      <c r="R123" s="1788"/>
      <c r="S123" s="1788"/>
      <c r="T123" s="1769"/>
      <c r="U123" s="1773"/>
    </row>
    <row r="124" spans="1:21" ht="8.25" customHeight="1" thickTop="1" thickBot="1">
      <c r="A124" s="1232"/>
      <c r="B124" s="1215"/>
      <c r="C124" s="1215"/>
      <c r="D124" s="1215"/>
      <c r="E124" s="1215"/>
      <c r="F124" s="1215"/>
      <c r="G124" s="1215"/>
      <c r="H124" s="1215"/>
      <c r="I124" s="1215"/>
      <c r="J124" s="65"/>
      <c r="K124" s="65"/>
      <c r="L124" s="64"/>
      <c r="M124" s="65"/>
      <c r="N124" s="193"/>
      <c r="O124" s="65"/>
      <c r="P124" s="193"/>
      <c r="Q124" s="1228"/>
      <c r="R124" s="193"/>
      <c r="S124" s="193"/>
      <c r="T124" s="1219"/>
      <c r="U124" s="1220"/>
    </row>
    <row r="125" spans="1:21" ht="13.5" thickTop="1">
      <c r="A125" s="1825">
        <v>11</v>
      </c>
      <c r="B125" s="1864" t="s">
        <v>101</v>
      </c>
      <c r="C125" s="1865"/>
      <c r="D125" s="1865">
        <v>600</v>
      </c>
      <c r="E125" s="1865"/>
      <c r="F125" s="1871" t="s">
        <v>124</v>
      </c>
      <c r="G125" s="1871"/>
      <c r="H125" s="1871"/>
      <c r="I125" s="1871"/>
      <c r="J125" s="1822">
        <v>2012</v>
      </c>
      <c r="K125" s="1822">
        <v>2014</v>
      </c>
      <c r="L125" s="1818">
        <v>3578965</v>
      </c>
      <c r="M125" s="1820" t="s">
        <v>120</v>
      </c>
      <c r="N125" s="1782">
        <f>IF(SUM(N129:N136)=T125,SUM(N129:N136),"wielbłąd")</f>
        <v>3540731</v>
      </c>
      <c r="O125" s="1780" t="s">
        <v>112</v>
      </c>
      <c r="P125" s="1782">
        <f t="shared" ref="P125" si="10">SUM(P129:P136)</f>
        <v>0</v>
      </c>
      <c r="Q125" s="1802">
        <f t="shared" ref="Q125:S125" si="11">SUM(Q129:Q136)</f>
        <v>3540731</v>
      </c>
      <c r="R125" s="1782">
        <f t="shared" si="11"/>
        <v>0</v>
      </c>
      <c r="S125" s="1782">
        <f t="shared" si="11"/>
        <v>0</v>
      </c>
      <c r="T125" s="1774">
        <f>SUM(U129:U136)</f>
        <v>3540731</v>
      </c>
      <c r="U125" s="1775"/>
    </row>
    <row r="126" spans="1:21" ht="12.75" customHeight="1">
      <c r="A126" s="1826"/>
      <c r="B126" s="1866"/>
      <c r="C126" s="1851"/>
      <c r="D126" s="1851"/>
      <c r="E126" s="1851"/>
      <c r="F126" s="1846"/>
      <c r="G126" s="1846"/>
      <c r="H126" s="1846"/>
      <c r="I126" s="1846"/>
      <c r="J126" s="1823"/>
      <c r="K126" s="1823"/>
      <c r="L126" s="1819"/>
      <c r="M126" s="1821"/>
      <c r="N126" s="1783"/>
      <c r="O126" s="1781"/>
      <c r="P126" s="1783"/>
      <c r="Q126" s="1803"/>
      <c r="R126" s="1783"/>
      <c r="S126" s="1783"/>
      <c r="T126" s="1776"/>
      <c r="U126" s="1777"/>
    </row>
    <row r="127" spans="1:21" ht="8.25" customHeight="1">
      <c r="A127" s="1826"/>
      <c r="B127" s="1876" t="s">
        <v>107</v>
      </c>
      <c r="C127" s="1781"/>
      <c r="D127" s="1781">
        <v>60016</v>
      </c>
      <c r="E127" s="1781"/>
      <c r="F127" s="1846" t="s">
        <v>125</v>
      </c>
      <c r="G127" s="1846"/>
      <c r="H127" s="1846"/>
      <c r="I127" s="1846"/>
      <c r="J127" s="1823"/>
      <c r="K127" s="1823"/>
      <c r="L127" s="1819"/>
      <c r="M127" s="1821"/>
      <c r="N127" s="1783"/>
      <c r="O127" s="1781"/>
      <c r="P127" s="1783"/>
      <c r="Q127" s="1803"/>
      <c r="R127" s="1783"/>
      <c r="S127" s="1783"/>
      <c r="T127" s="1776"/>
      <c r="U127" s="1777"/>
    </row>
    <row r="128" spans="1:21" ht="12.75" customHeight="1">
      <c r="A128" s="1826"/>
      <c r="B128" s="1877"/>
      <c r="C128" s="1832"/>
      <c r="D128" s="1832"/>
      <c r="E128" s="1832"/>
      <c r="F128" s="1847"/>
      <c r="G128" s="1847"/>
      <c r="H128" s="1847"/>
      <c r="I128" s="1847"/>
      <c r="J128" s="1823"/>
      <c r="K128" s="1823"/>
      <c r="L128" s="1819"/>
      <c r="M128" s="1821"/>
      <c r="N128" s="1783"/>
      <c r="O128" s="1781"/>
      <c r="P128" s="1783"/>
      <c r="Q128" s="1803"/>
      <c r="R128" s="1783"/>
      <c r="S128" s="1783"/>
      <c r="T128" s="1778"/>
      <c r="U128" s="1779"/>
    </row>
    <row r="129" spans="1:21">
      <c r="A129" s="1827"/>
      <c r="B129" s="1834" t="s">
        <v>379</v>
      </c>
      <c r="C129" s="1835"/>
      <c r="D129" s="1835"/>
      <c r="E129" s="1835"/>
      <c r="F129" s="1835"/>
      <c r="G129" s="1835"/>
      <c r="H129" s="1835"/>
      <c r="I129" s="1836"/>
      <c r="J129" s="1872"/>
      <c r="K129" s="1823"/>
      <c r="L129" s="1819"/>
      <c r="M129" s="1781" t="s">
        <v>143</v>
      </c>
      <c r="N129" s="1787">
        <f>SUM(P129:S132)</f>
        <v>2521178</v>
      </c>
      <c r="O129" s="1781" t="s">
        <v>112</v>
      </c>
      <c r="P129" s="1784">
        <v>0</v>
      </c>
      <c r="Q129" s="1799">
        <v>2521178</v>
      </c>
      <c r="R129" s="1787">
        <v>0</v>
      </c>
      <c r="S129" s="1787">
        <v>0</v>
      </c>
      <c r="T129" s="1770">
        <f>$P$6</f>
        <v>2013</v>
      </c>
      <c r="U129" s="1772">
        <f>P125</f>
        <v>0</v>
      </c>
    </row>
    <row r="130" spans="1:21">
      <c r="A130" s="1827"/>
      <c r="B130" s="1837"/>
      <c r="C130" s="1838"/>
      <c r="D130" s="1838"/>
      <c r="E130" s="1838"/>
      <c r="F130" s="1838"/>
      <c r="G130" s="1838"/>
      <c r="H130" s="1838"/>
      <c r="I130" s="1839"/>
      <c r="J130" s="1872"/>
      <c r="K130" s="1823"/>
      <c r="L130" s="1819"/>
      <c r="M130" s="1781"/>
      <c r="N130" s="1787"/>
      <c r="O130" s="1781"/>
      <c r="P130" s="1785"/>
      <c r="Q130" s="1800"/>
      <c r="R130" s="1787"/>
      <c r="S130" s="1787"/>
      <c r="T130" s="1771"/>
      <c r="U130" s="1767"/>
    </row>
    <row r="131" spans="1:21" ht="21" customHeight="1">
      <c r="A131" s="1827"/>
      <c r="B131" s="1837"/>
      <c r="C131" s="1838"/>
      <c r="D131" s="1838"/>
      <c r="E131" s="1838"/>
      <c r="F131" s="1838"/>
      <c r="G131" s="1838"/>
      <c r="H131" s="1838"/>
      <c r="I131" s="1839"/>
      <c r="J131" s="1872"/>
      <c r="K131" s="1823"/>
      <c r="L131" s="1783">
        <v>38234</v>
      </c>
      <c r="M131" s="1781"/>
      <c r="N131" s="1787"/>
      <c r="O131" s="1781"/>
      <c r="P131" s="1785"/>
      <c r="Q131" s="1800"/>
      <c r="R131" s="1787"/>
      <c r="S131" s="1787"/>
      <c r="T131" s="1768">
        <f>$Q$6</f>
        <v>2014</v>
      </c>
      <c r="U131" s="1767">
        <f>Q125</f>
        <v>3540731</v>
      </c>
    </row>
    <row r="132" spans="1:21" ht="12.75" customHeight="1">
      <c r="A132" s="1827"/>
      <c r="B132" s="1840"/>
      <c r="C132" s="1841"/>
      <c r="D132" s="1841"/>
      <c r="E132" s="1841"/>
      <c r="F132" s="1841"/>
      <c r="G132" s="1841"/>
      <c r="H132" s="1841"/>
      <c r="I132" s="1842"/>
      <c r="J132" s="1872"/>
      <c r="K132" s="1823"/>
      <c r="L132" s="1783"/>
      <c r="M132" s="1781"/>
      <c r="N132" s="1784"/>
      <c r="O132" s="1781"/>
      <c r="P132" s="1786"/>
      <c r="Q132" s="1817"/>
      <c r="R132" s="1787"/>
      <c r="S132" s="1787"/>
      <c r="T132" s="1768"/>
      <c r="U132" s="1767"/>
    </row>
    <row r="133" spans="1:21">
      <c r="A133" s="1827"/>
      <c r="B133" s="1852" t="s">
        <v>527</v>
      </c>
      <c r="C133" s="1853"/>
      <c r="D133" s="1853"/>
      <c r="E133" s="1853"/>
      <c r="F133" s="1853"/>
      <c r="G133" s="1853"/>
      <c r="H133" s="1853"/>
      <c r="I133" s="1854"/>
      <c r="J133" s="1823"/>
      <c r="K133" s="1823"/>
      <c r="L133" s="1783"/>
      <c r="M133" s="1832" t="s">
        <v>123</v>
      </c>
      <c r="N133" s="1787">
        <f>SUM(P133:S136)</f>
        <v>1019553</v>
      </c>
      <c r="O133" s="1781" t="s">
        <v>112</v>
      </c>
      <c r="P133" s="1784">
        <v>0</v>
      </c>
      <c r="Q133" s="1799">
        <v>1019553</v>
      </c>
      <c r="R133" s="1787">
        <v>0</v>
      </c>
      <c r="S133" s="1787">
        <v>0</v>
      </c>
      <c r="T133" s="1768">
        <f>$R$6</f>
        <v>2015</v>
      </c>
      <c r="U133" s="1767">
        <f>R125</f>
        <v>0</v>
      </c>
    </row>
    <row r="134" spans="1:21" ht="6" customHeight="1">
      <c r="A134" s="1827"/>
      <c r="B134" s="1852"/>
      <c r="C134" s="1853"/>
      <c r="D134" s="1853"/>
      <c r="E134" s="1853"/>
      <c r="F134" s="1853"/>
      <c r="G134" s="1853"/>
      <c r="H134" s="1853"/>
      <c r="I134" s="1854"/>
      <c r="J134" s="1823"/>
      <c r="K134" s="1823"/>
      <c r="L134" s="1783"/>
      <c r="M134" s="1823"/>
      <c r="N134" s="1787"/>
      <c r="O134" s="1781"/>
      <c r="P134" s="1785"/>
      <c r="Q134" s="1800"/>
      <c r="R134" s="1787"/>
      <c r="S134" s="1787"/>
      <c r="T134" s="1768"/>
      <c r="U134" s="1767"/>
    </row>
    <row r="135" spans="1:21">
      <c r="A135" s="1827"/>
      <c r="B135" s="1852"/>
      <c r="C135" s="1853"/>
      <c r="D135" s="1853"/>
      <c r="E135" s="1853"/>
      <c r="F135" s="1853"/>
      <c r="G135" s="1853"/>
      <c r="H135" s="1853"/>
      <c r="I135" s="1854"/>
      <c r="J135" s="1823"/>
      <c r="K135" s="1823"/>
      <c r="L135" s="1783"/>
      <c r="M135" s="1823"/>
      <c r="N135" s="1787"/>
      <c r="O135" s="1781"/>
      <c r="P135" s="1785"/>
      <c r="Q135" s="1800"/>
      <c r="R135" s="1787"/>
      <c r="S135" s="1787"/>
      <c r="T135" s="1768">
        <f>$S$6</f>
        <v>2016</v>
      </c>
      <c r="U135" s="1767">
        <f>S125</f>
        <v>0</v>
      </c>
    </row>
    <row r="136" spans="1:21" ht="13.5" thickBot="1">
      <c r="A136" s="1863"/>
      <c r="B136" s="1855"/>
      <c r="C136" s="1856"/>
      <c r="D136" s="1856"/>
      <c r="E136" s="1856"/>
      <c r="F136" s="1856"/>
      <c r="G136" s="1856"/>
      <c r="H136" s="1856"/>
      <c r="I136" s="1857"/>
      <c r="J136" s="1824"/>
      <c r="K136" s="1824"/>
      <c r="L136" s="1858"/>
      <c r="M136" s="1824"/>
      <c r="N136" s="1788"/>
      <c r="O136" s="1896"/>
      <c r="P136" s="1798"/>
      <c r="Q136" s="1801"/>
      <c r="R136" s="1788"/>
      <c r="S136" s="1788"/>
      <c r="T136" s="1769"/>
      <c r="U136" s="1773"/>
    </row>
    <row r="137" spans="1:21" ht="31.5" customHeight="1" thickTop="1" thickBot="1">
      <c r="A137" s="1232"/>
      <c r="B137" s="1215"/>
      <c r="C137" s="1215"/>
      <c r="D137" s="1215"/>
      <c r="E137" s="1215"/>
      <c r="F137" s="1215"/>
      <c r="G137" s="1215"/>
      <c r="H137" s="1215"/>
      <c r="I137" s="1215"/>
      <c r="J137" s="65"/>
      <c r="K137" s="65"/>
      <c r="L137" s="64"/>
      <c r="M137" s="65"/>
      <c r="N137" s="193"/>
      <c r="O137" s="65"/>
      <c r="P137" s="193"/>
      <c r="Q137" s="1228"/>
      <c r="R137" s="193"/>
      <c r="S137" s="193"/>
      <c r="T137" s="1219"/>
      <c r="U137" s="1220"/>
    </row>
    <row r="138" spans="1:21" ht="13.5" thickTop="1">
      <c r="A138" s="1825">
        <v>12</v>
      </c>
      <c r="B138" s="1864" t="s">
        <v>101</v>
      </c>
      <c r="C138" s="1865"/>
      <c r="D138" s="1865">
        <v>801</v>
      </c>
      <c r="E138" s="1865"/>
      <c r="F138" s="1871" t="s">
        <v>141</v>
      </c>
      <c r="G138" s="1871"/>
      <c r="H138" s="1871"/>
      <c r="I138" s="1871"/>
      <c r="J138" s="1822">
        <v>2011</v>
      </c>
      <c r="K138" s="1822">
        <v>2013</v>
      </c>
      <c r="L138" s="1818">
        <v>59275</v>
      </c>
      <c r="M138" s="1820" t="s">
        <v>120</v>
      </c>
      <c r="N138" s="1782">
        <f>IF(SUM(N142:N149)=T138,SUM(N142:N149),"wielbłąd")</f>
        <v>60000</v>
      </c>
      <c r="O138" s="1780" t="s">
        <v>112</v>
      </c>
      <c r="P138" s="1782">
        <f t="shared" ref="P138" si="12">SUM(P142:P149)</f>
        <v>0</v>
      </c>
      <c r="Q138" s="1802">
        <f t="shared" ref="Q138:S138" si="13">SUM(Q142:Q149)</f>
        <v>60000</v>
      </c>
      <c r="R138" s="1782">
        <f t="shared" si="13"/>
        <v>0</v>
      </c>
      <c r="S138" s="1782">
        <f t="shared" si="13"/>
        <v>0</v>
      </c>
      <c r="T138" s="1774">
        <f>SUM(U142:U149)</f>
        <v>60000</v>
      </c>
      <c r="U138" s="1775"/>
    </row>
    <row r="139" spans="1:21">
      <c r="A139" s="1826"/>
      <c r="B139" s="1866"/>
      <c r="C139" s="1851"/>
      <c r="D139" s="1851"/>
      <c r="E139" s="1851"/>
      <c r="F139" s="1846"/>
      <c r="G139" s="1846"/>
      <c r="H139" s="1846"/>
      <c r="I139" s="1846"/>
      <c r="J139" s="1823"/>
      <c r="K139" s="1823"/>
      <c r="L139" s="1819"/>
      <c r="M139" s="1821"/>
      <c r="N139" s="1783"/>
      <c r="O139" s="1781"/>
      <c r="P139" s="1783"/>
      <c r="Q139" s="1803"/>
      <c r="R139" s="1783"/>
      <c r="S139" s="1783"/>
      <c r="T139" s="1776"/>
      <c r="U139" s="1777"/>
    </row>
    <row r="140" spans="1:21">
      <c r="A140" s="1826"/>
      <c r="B140" s="1876" t="s">
        <v>107</v>
      </c>
      <c r="C140" s="1781"/>
      <c r="D140" s="1781">
        <v>80195</v>
      </c>
      <c r="E140" s="1781"/>
      <c r="F140" s="1846" t="s">
        <v>336</v>
      </c>
      <c r="G140" s="1846"/>
      <c r="H140" s="1846"/>
      <c r="I140" s="1846"/>
      <c r="J140" s="1823"/>
      <c r="K140" s="1823"/>
      <c r="L140" s="1819"/>
      <c r="M140" s="1821"/>
      <c r="N140" s="1783"/>
      <c r="O140" s="1781"/>
      <c r="P140" s="1783"/>
      <c r="Q140" s="1803"/>
      <c r="R140" s="1783"/>
      <c r="S140" s="1783"/>
      <c r="T140" s="1776"/>
      <c r="U140" s="1777"/>
    </row>
    <row r="141" spans="1:21">
      <c r="A141" s="1826"/>
      <c r="B141" s="1877"/>
      <c r="C141" s="1832"/>
      <c r="D141" s="1832"/>
      <c r="E141" s="1832"/>
      <c r="F141" s="1847"/>
      <c r="G141" s="1847"/>
      <c r="H141" s="1847"/>
      <c r="I141" s="1847"/>
      <c r="J141" s="1823"/>
      <c r="K141" s="1823"/>
      <c r="L141" s="1819"/>
      <c r="M141" s="1821"/>
      <c r="N141" s="1783"/>
      <c r="O141" s="1781"/>
      <c r="P141" s="1783"/>
      <c r="Q141" s="1803"/>
      <c r="R141" s="1783"/>
      <c r="S141" s="1783"/>
      <c r="T141" s="1778"/>
      <c r="U141" s="1779"/>
    </row>
    <row r="142" spans="1:21">
      <c r="A142" s="1827"/>
      <c r="B142" s="1834" t="s">
        <v>396</v>
      </c>
      <c r="C142" s="1835"/>
      <c r="D142" s="1835"/>
      <c r="E142" s="1835"/>
      <c r="F142" s="1835"/>
      <c r="G142" s="1835"/>
      <c r="H142" s="1835"/>
      <c r="I142" s="1836"/>
      <c r="J142" s="1872"/>
      <c r="K142" s="1823"/>
      <c r="L142" s="1819"/>
      <c r="M142" s="1781" t="s">
        <v>143</v>
      </c>
      <c r="N142" s="1787">
        <f>SUM(P142:S145)</f>
        <v>51780</v>
      </c>
      <c r="O142" s="1781" t="s">
        <v>112</v>
      </c>
      <c r="P142" s="1784">
        <v>0</v>
      </c>
      <c r="Q142" s="1799">
        <v>51780</v>
      </c>
      <c r="R142" s="1787">
        <v>0</v>
      </c>
      <c r="S142" s="1787">
        <v>0</v>
      </c>
      <c r="T142" s="1770">
        <v>2013</v>
      </c>
      <c r="U142" s="1772">
        <f>P138</f>
        <v>0</v>
      </c>
    </row>
    <row r="143" spans="1:21">
      <c r="A143" s="1827"/>
      <c r="B143" s="1837"/>
      <c r="C143" s="1838"/>
      <c r="D143" s="1838"/>
      <c r="E143" s="1838"/>
      <c r="F143" s="1838"/>
      <c r="G143" s="1838"/>
      <c r="H143" s="1838"/>
      <c r="I143" s="1839"/>
      <c r="J143" s="1872"/>
      <c r="K143" s="1823"/>
      <c r="L143" s="1819"/>
      <c r="M143" s="1781"/>
      <c r="N143" s="1787"/>
      <c r="O143" s="1781"/>
      <c r="P143" s="1785"/>
      <c r="Q143" s="1800"/>
      <c r="R143" s="1787"/>
      <c r="S143" s="1787"/>
      <c r="T143" s="1771"/>
      <c r="U143" s="1767"/>
    </row>
    <row r="144" spans="1:21" ht="2.25" customHeight="1">
      <c r="A144" s="1827"/>
      <c r="B144" s="1837"/>
      <c r="C144" s="1838"/>
      <c r="D144" s="1838"/>
      <c r="E144" s="1838"/>
      <c r="F144" s="1838"/>
      <c r="G144" s="1838"/>
      <c r="H144" s="1838"/>
      <c r="I144" s="1839"/>
      <c r="J144" s="1872"/>
      <c r="K144" s="1823"/>
      <c r="L144" s="1783">
        <v>0</v>
      </c>
      <c r="M144" s="1781"/>
      <c r="N144" s="1787"/>
      <c r="O144" s="1781"/>
      <c r="P144" s="1785"/>
      <c r="Q144" s="1800"/>
      <c r="R144" s="1787"/>
      <c r="S144" s="1787"/>
      <c r="T144" s="1768">
        <v>2014</v>
      </c>
      <c r="U144" s="1767">
        <f>Q138</f>
        <v>60000</v>
      </c>
    </row>
    <row r="145" spans="1:21">
      <c r="A145" s="1827"/>
      <c r="B145" s="1840"/>
      <c r="C145" s="1841"/>
      <c r="D145" s="1841"/>
      <c r="E145" s="1841"/>
      <c r="F145" s="1841"/>
      <c r="G145" s="1841"/>
      <c r="H145" s="1841"/>
      <c r="I145" s="1842"/>
      <c r="J145" s="1872"/>
      <c r="K145" s="1823"/>
      <c r="L145" s="1783"/>
      <c r="M145" s="1781"/>
      <c r="N145" s="1784"/>
      <c r="O145" s="1781"/>
      <c r="P145" s="1786"/>
      <c r="Q145" s="1817"/>
      <c r="R145" s="1787"/>
      <c r="S145" s="1787"/>
      <c r="T145" s="1768"/>
      <c r="U145" s="1767"/>
    </row>
    <row r="146" spans="1:21">
      <c r="A146" s="1827"/>
      <c r="B146" s="1852" t="s">
        <v>528</v>
      </c>
      <c r="C146" s="1853"/>
      <c r="D146" s="1853"/>
      <c r="E146" s="1853"/>
      <c r="F146" s="1853"/>
      <c r="G146" s="1853"/>
      <c r="H146" s="1853"/>
      <c r="I146" s="1854"/>
      <c r="J146" s="1823"/>
      <c r="K146" s="1823"/>
      <c r="L146" s="1783"/>
      <c r="M146" s="1832" t="s">
        <v>397</v>
      </c>
      <c r="N146" s="1787">
        <f>SUM(P146:S149)</f>
        <v>8220</v>
      </c>
      <c r="O146" s="1781" t="s">
        <v>112</v>
      </c>
      <c r="P146" s="1784">
        <v>0</v>
      </c>
      <c r="Q146" s="1799">
        <v>8220</v>
      </c>
      <c r="R146" s="1787">
        <v>0</v>
      </c>
      <c r="S146" s="1787">
        <v>0</v>
      </c>
      <c r="T146" s="1768"/>
      <c r="U146" s="1767"/>
    </row>
    <row r="147" spans="1:21">
      <c r="A147" s="1827"/>
      <c r="B147" s="1852"/>
      <c r="C147" s="1853"/>
      <c r="D147" s="1853"/>
      <c r="E147" s="1853"/>
      <c r="F147" s="1853"/>
      <c r="G147" s="1853"/>
      <c r="H147" s="1853"/>
      <c r="I147" s="1854"/>
      <c r="J147" s="1823"/>
      <c r="K147" s="1823"/>
      <c r="L147" s="1783"/>
      <c r="M147" s="1823"/>
      <c r="N147" s="1787"/>
      <c r="O147" s="1781"/>
      <c r="P147" s="1785"/>
      <c r="Q147" s="1800"/>
      <c r="R147" s="1787"/>
      <c r="S147" s="1787"/>
      <c r="T147" s="1768"/>
      <c r="U147" s="1767"/>
    </row>
    <row r="148" spans="1:21" ht="7.5" customHeight="1">
      <c r="A148" s="1827"/>
      <c r="B148" s="1852"/>
      <c r="C148" s="1853"/>
      <c r="D148" s="1853"/>
      <c r="E148" s="1853"/>
      <c r="F148" s="1853"/>
      <c r="G148" s="1853"/>
      <c r="H148" s="1853"/>
      <c r="I148" s="1854"/>
      <c r="J148" s="1823"/>
      <c r="K148" s="1823"/>
      <c r="L148" s="1783"/>
      <c r="M148" s="1823"/>
      <c r="N148" s="1787"/>
      <c r="O148" s="1781"/>
      <c r="P148" s="1785"/>
      <c r="Q148" s="1800"/>
      <c r="R148" s="1787"/>
      <c r="S148" s="1787"/>
      <c r="T148" s="1768"/>
      <c r="U148" s="1767"/>
    </row>
    <row r="149" spans="1:21" ht="13.5" thickBot="1">
      <c r="A149" s="1863"/>
      <c r="B149" s="1855"/>
      <c r="C149" s="1856"/>
      <c r="D149" s="1856"/>
      <c r="E149" s="1856"/>
      <c r="F149" s="1856"/>
      <c r="G149" s="1856"/>
      <c r="H149" s="1856"/>
      <c r="I149" s="1857"/>
      <c r="J149" s="1824"/>
      <c r="K149" s="1824"/>
      <c r="L149" s="1858"/>
      <c r="M149" s="1824"/>
      <c r="N149" s="1788"/>
      <c r="O149" s="1896"/>
      <c r="P149" s="1798"/>
      <c r="Q149" s="1801"/>
      <c r="R149" s="1788"/>
      <c r="S149" s="1788"/>
      <c r="T149" s="1769"/>
      <c r="U149" s="1773"/>
    </row>
    <row r="150" spans="1:21" ht="13.5" hidden="1" thickTop="1">
      <c r="A150" s="1232"/>
      <c r="B150" s="1215"/>
      <c r="C150" s="1215"/>
      <c r="D150" s="1215"/>
      <c r="E150" s="1215"/>
      <c r="F150" s="1215"/>
      <c r="G150" s="1215"/>
      <c r="H150" s="1215"/>
      <c r="I150" s="1215"/>
      <c r="J150" s="65"/>
      <c r="K150" s="65"/>
      <c r="L150" s="64"/>
      <c r="M150" s="65"/>
      <c r="N150" s="193"/>
      <c r="O150" s="65"/>
      <c r="P150" s="193"/>
      <c r="Q150" s="1228"/>
      <c r="R150" s="193"/>
      <c r="S150" s="193"/>
      <c r="T150" s="1219"/>
      <c r="U150" s="1220"/>
    </row>
    <row r="151" spans="1:21" ht="13.5" hidden="1" thickTop="1">
      <c r="A151" s="1940">
        <v>14</v>
      </c>
      <c r="B151" s="1864" t="s">
        <v>101</v>
      </c>
      <c r="C151" s="1865"/>
      <c r="D151" s="1865">
        <v>0</v>
      </c>
      <c r="E151" s="1865"/>
      <c r="F151" s="1871">
        <v>0</v>
      </c>
      <c r="G151" s="1871"/>
      <c r="H151" s="1871"/>
      <c r="I151" s="1871"/>
      <c r="J151" s="1822">
        <v>2012</v>
      </c>
      <c r="K151" s="1822">
        <v>2015</v>
      </c>
      <c r="L151" s="1818">
        <f>SUM(N151,L157)</f>
        <v>0</v>
      </c>
      <c r="M151" s="1820" t="s">
        <v>120</v>
      </c>
      <c r="N151" s="1782">
        <f>IF(SUM(N155:N162)=T151,SUM(N155:N162),"wielbłąd")</f>
        <v>0</v>
      </c>
      <c r="O151" s="1780" t="s">
        <v>112</v>
      </c>
      <c r="P151" s="1782">
        <f t="shared" ref="P151" si="14">SUM(P155:P162)</f>
        <v>0</v>
      </c>
      <c r="Q151" s="1802">
        <f t="shared" ref="Q151:S151" si="15">SUM(Q155:Q162)</f>
        <v>0</v>
      </c>
      <c r="R151" s="1782">
        <f t="shared" si="15"/>
        <v>0</v>
      </c>
      <c r="S151" s="1782">
        <f t="shared" si="15"/>
        <v>0</v>
      </c>
      <c r="T151" s="1774">
        <f>SUM(U155:U162)</f>
        <v>0</v>
      </c>
      <c r="U151" s="1775"/>
    </row>
    <row r="152" spans="1:21" ht="13.5" hidden="1" thickTop="1">
      <c r="A152" s="1941"/>
      <c r="B152" s="1866"/>
      <c r="C152" s="1851"/>
      <c r="D152" s="1851"/>
      <c r="E152" s="1851"/>
      <c r="F152" s="1846"/>
      <c r="G152" s="1846"/>
      <c r="H152" s="1846"/>
      <c r="I152" s="1846"/>
      <c r="J152" s="1823"/>
      <c r="K152" s="1823"/>
      <c r="L152" s="1819"/>
      <c r="M152" s="1821"/>
      <c r="N152" s="1783"/>
      <c r="O152" s="1781"/>
      <c r="P152" s="1783"/>
      <c r="Q152" s="1803"/>
      <c r="R152" s="1783"/>
      <c r="S152" s="1783"/>
      <c r="T152" s="1776"/>
      <c r="U152" s="1777"/>
    </row>
    <row r="153" spans="1:21" ht="13.5" hidden="1" thickTop="1">
      <c r="A153" s="1941"/>
      <c r="B153" s="1876" t="s">
        <v>107</v>
      </c>
      <c r="C153" s="1781"/>
      <c r="D153" s="1781">
        <v>0</v>
      </c>
      <c r="E153" s="1781"/>
      <c r="F153" s="1846">
        <v>0</v>
      </c>
      <c r="G153" s="1846"/>
      <c r="H153" s="1846"/>
      <c r="I153" s="1846"/>
      <c r="J153" s="1823"/>
      <c r="K153" s="1823"/>
      <c r="L153" s="1819"/>
      <c r="M153" s="1821"/>
      <c r="N153" s="1783"/>
      <c r="O153" s="1781"/>
      <c r="P153" s="1783"/>
      <c r="Q153" s="1803"/>
      <c r="R153" s="1783"/>
      <c r="S153" s="1783"/>
      <c r="T153" s="1776"/>
      <c r="U153" s="1777"/>
    </row>
    <row r="154" spans="1:21" ht="13.5" hidden="1" thickTop="1">
      <c r="A154" s="1941"/>
      <c r="B154" s="1877"/>
      <c r="C154" s="1832"/>
      <c r="D154" s="1832"/>
      <c r="E154" s="1832"/>
      <c r="F154" s="1847"/>
      <c r="G154" s="1847"/>
      <c r="H154" s="1847"/>
      <c r="I154" s="1847"/>
      <c r="J154" s="1823"/>
      <c r="K154" s="1823"/>
      <c r="L154" s="1819"/>
      <c r="M154" s="1821"/>
      <c r="N154" s="1783"/>
      <c r="O154" s="1781"/>
      <c r="P154" s="1783"/>
      <c r="Q154" s="1803"/>
      <c r="R154" s="1783"/>
      <c r="S154" s="1783"/>
      <c r="T154" s="1778"/>
      <c r="U154" s="1779"/>
    </row>
    <row r="155" spans="1:21" ht="13.5" hidden="1" thickTop="1">
      <c r="A155" s="1942"/>
      <c r="B155" s="1950">
        <v>0</v>
      </c>
      <c r="C155" s="1951"/>
      <c r="D155" s="1951"/>
      <c r="E155" s="1951"/>
      <c r="F155" s="1951"/>
      <c r="G155" s="1951"/>
      <c r="H155" s="1951"/>
      <c r="I155" s="1952"/>
      <c r="J155" s="1872"/>
      <c r="K155" s="1823"/>
      <c r="L155" s="1819"/>
      <c r="M155" s="1781" t="s">
        <v>122</v>
      </c>
      <c r="N155" s="1787">
        <f>SUM(P155:S158)</f>
        <v>0</v>
      </c>
      <c r="O155" s="1781" t="s">
        <v>112</v>
      </c>
      <c r="P155" s="1784">
        <v>0</v>
      </c>
      <c r="Q155" s="1799">
        <v>0</v>
      </c>
      <c r="R155" s="1787">
        <v>0</v>
      </c>
      <c r="S155" s="1787">
        <v>0</v>
      </c>
      <c r="T155" s="1770">
        <f>$P$6</f>
        <v>2013</v>
      </c>
      <c r="U155" s="1772">
        <f>P151</f>
        <v>0</v>
      </c>
    </row>
    <row r="156" spans="1:21" ht="13.5" hidden="1" thickTop="1">
      <c r="A156" s="1942"/>
      <c r="B156" s="1953"/>
      <c r="C156" s="1954"/>
      <c r="D156" s="1954"/>
      <c r="E156" s="1954"/>
      <c r="F156" s="1954"/>
      <c r="G156" s="1954"/>
      <c r="H156" s="1954"/>
      <c r="I156" s="1955"/>
      <c r="J156" s="1872"/>
      <c r="K156" s="1823"/>
      <c r="L156" s="1819"/>
      <c r="M156" s="1781"/>
      <c r="N156" s="1787"/>
      <c r="O156" s="1781"/>
      <c r="P156" s="1785"/>
      <c r="Q156" s="1800"/>
      <c r="R156" s="1787"/>
      <c r="S156" s="1787"/>
      <c r="T156" s="1771"/>
      <c r="U156" s="1767"/>
    </row>
    <row r="157" spans="1:21" ht="13.5" hidden="1" thickTop="1">
      <c r="A157" s="1942"/>
      <c r="B157" s="1953"/>
      <c r="C157" s="1954"/>
      <c r="D157" s="1954"/>
      <c r="E157" s="1954"/>
      <c r="F157" s="1954"/>
      <c r="G157" s="1954"/>
      <c r="H157" s="1954"/>
      <c r="I157" s="1955"/>
      <c r="J157" s="1872"/>
      <c r="K157" s="1823"/>
      <c r="L157" s="1783">
        <v>0</v>
      </c>
      <c r="M157" s="1781"/>
      <c r="N157" s="1787"/>
      <c r="O157" s="1781"/>
      <c r="P157" s="1785"/>
      <c r="Q157" s="1800"/>
      <c r="R157" s="1787"/>
      <c r="S157" s="1787"/>
      <c r="T157" s="1768">
        <f>$Q$6</f>
        <v>2014</v>
      </c>
      <c r="U157" s="1767">
        <f>Q151</f>
        <v>0</v>
      </c>
    </row>
    <row r="158" spans="1:21" ht="13.5" hidden="1" thickTop="1">
      <c r="A158" s="1942"/>
      <c r="B158" s="1956"/>
      <c r="C158" s="1957"/>
      <c r="D158" s="1957"/>
      <c r="E158" s="1957"/>
      <c r="F158" s="1957"/>
      <c r="G158" s="1957"/>
      <c r="H158" s="1957"/>
      <c r="I158" s="1958"/>
      <c r="J158" s="1872"/>
      <c r="K158" s="1823"/>
      <c r="L158" s="1783"/>
      <c r="M158" s="1781"/>
      <c r="N158" s="1784"/>
      <c r="O158" s="1781"/>
      <c r="P158" s="1786"/>
      <c r="Q158" s="1817"/>
      <c r="R158" s="1787"/>
      <c r="S158" s="1787"/>
      <c r="T158" s="1768"/>
      <c r="U158" s="1767"/>
    </row>
    <row r="159" spans="1:21" ht="13.5" hidden="1" thickTop="1">
      <c r="A159" s="1942"/>
      <c r="B159" s="1852">
        <v>0</v>
      </c>
      <c r="C159" s="1853"/>
      <c r="D159" s="1853"/>
      <c r="E159" s="1853"/>
      <c r="F159" s="1853"/>
      <c r="G159" s="1853"/>
      <c r="H159" s="1853"/>
      <c r="I159" s="1854"/>
      <c r="J159" s="1823"/>
      <c r="K159" s="1823"/>
      <c r="L159" s="1783"/>
      <c r="M159" s="1832" t="s">
        <v>123</v>
      </c>
      <c r="N159" s="1787">
        <f>SUM(P159:S162)</f>
        <v>0</v>
      </c>
      <c r="O159" s="1781" t="s">
        <v>112</v>
      </c>
      <c r="P159" s="1784">
        <v>0</v>
      </c>
      <c r="Q159" s="1799">
        <v>0</v>
      </c>
      <c r="R159" s="1787">
        <v>0</v>
      </c>
      <c r="S159" s="1787">
        <v>0</v>
      </c>
      <c r="T159" s="1768"/>
      <c r="U159" s="1767"/>
    </row>
    <row r="160" spans="1:21" ht="13.5" hidden="1" thickTop="1">
      <c r="A160" s="1942"/>
      <c r="B160" s="1852"/>
      <c r="C160" s="1853"/>
      <c r="D160" s="1853"/>
      <c r="E160" s="1853"/>
      <c r="F160" s="1853"/>
      <c r="G160" s="1853"/>
      <c r="H160" s="1853"/>
      <c r="I160" s="1854"/>
      <c r="J160" s="1823"/>
      <c r="K160" s="1823"/>
      <c r="L160" s="1783"/>
      <c r="M160" s="1823"/>
      <c r="N160" s="1787"/>
      <c r="O160" s="1781"/>
      <c r="P160" s="1785"/>
      <c r="Q160" s="1800"/>
      <c r="R160" s="1787"/>
      <c r="S160" s="1787"/>
      <c r="T160" s="1768"/>
      <c r="U160" s="1767"/>
    </row>
    <row r="161" spans="1:21" ht="13.5" hidden="1" thickTop="1">
      <c r="A161" s="1942"/>
      <c r="B161" s="1852"/>
      <c r="C161" s="1853"/>
      <c r="D161" s="1853"/>
      <c r="E161" s="1853"/>
      <c r="F161" s="1853"/>
      <c r="G161" s="1853"/>
      <c r="H161" s="1853"/>
      <c r="I161" s="1854"/>
      <c r="J161" s="1823"/>
      <c r="K161" s="1823"/>
      <c r="L161" s="1783"/>
      <c r="M161" s="1823"/>
      <c r="N161" s="1787"/>
      <c r="O161" s="1781"/>
      <c r="P161" s="1785"/>
      <c r="Q161" s="1800"/>
      <c r="R161" s="1787"/>
      <c r="S161" s="1787"/>
      <c r="T161" s="1768"/>
      <c r="U161" s="1767"/>
    </row>
    <row r="162" spans="1:21" ht="8.25" hidden="1" customHeight="1" thickBot="1">
      <c r="A162" s="1943"/>
      <c r="B162" s="1855"/>
      <c r="C162" s="1856"/>
      <c r="D162" s="1856"/>
      <c r="E162" s="1856"/>
      <c r="F162" s="1856"/>
      <c r="G162" s="1856"/>
      <c r="H162" s="1856"/>
      <c r="I162" s="1857"/>
      <c r="J162" s="1824"/>
      <c r="K162" s="1824"/>
      <c r="L162" s="1858"/>
      <c r="M162" s="1824"/>
      <c r="N162" s="1788"/>
      <c r="O162" s="1896"/>
      <c r="P162" s="1798"/>
      <c r="Q162" s="1801"/>
      <c r="R162" s="1788"/>
      <c r="S162" s="1788"/>
      <c r="T162" s="1769"/>
      <c r="U162" s="1773"/>
    </row>
    <row r="163" spans="1:21" ht="14.25" thickTop="1" thickBot="1">
      <c r="A163" s="1232"/>
      <c r="B163" s="1215"/>
      <c r="C163" s="1215"/>
      <c r="D163" s="1215"/>
      <c r="E163" s="1215"/>
      <c r="F163" s="1215"/>
      <c r="G163" s="1215"/>
      <c r="H163" s="1215"/>
      <c r="I163" s="1215"/>
      <c r="J163" s="65"/>
      <c r="K163" s="65"/>
      <c r="L163" s="64"/>
      <c r="M163" s="65"/>
      <c r="N163" s="193"/>
      <c r="O163" s="65"/>
      <c r="P163" s="193"/>
      <c r="Q163" s="1228"/>
      <c r="R163" s="193"/>
      <c r="S163" s="193"/>
      <c r="T163" s="1219"/>
      <c r="U163" s="1220"/>
    </row>
    <row r="164" spans="1:21" ht="13.5" thickTop="1">
      <c r="A164" s="1825">
        <v>13</v>
      </c>
      <c r="B164" s="1864" t="s">
        <v>101</v>
      </c>
      <c r="C164" s="1865"/>
      <c r="D164" s="1865">
        <v>926</v>
      </c>
      <c r="E164" s="1865"/>
      <c r="F164" s="1871" t="s">
        <v>349</v>
      </c>
      <c r="G164" s="1871"/>
      <c r="H164" s="1871"/>
      <c r="I164" s="1871"/>
      <c r="J164" s="1822">
        <v>2009</v>
      </c>
      <c r="K164" s="1822">
        <v>2014</v>
      </c>
      <c r="L164" s="1818">
        <v>15692160</v>
      </c>
      <c r="M164" s="1820" t="s">
        <v>120</v>
      </c>
      <c r="N164" s="1782">
        <f>IF(SUM(N168:N179)=T164,SUM(N168:N179),"wielbłąd")</f>
        <v>15000000</v>
      </c>
      <c r="O164" s="1780" t="s">
        <v>112</v>
      </c>
      <c r="P164" s="1782">
        <f t="shared" ref="P164" si="16">SUM(P168:P179)</f>
        <v>0</v>
      </c>
      <c r="Q164" s="1802">
        <f t="shared" ref="Q164:S164" si="17">SUM(Q168:Q179)</f>
        <v>15000000</v>
      </c>
      <c r="R164" s="1782">
        <f t="shared" si="17"/>
        <v>0</v>
      </c>
      <c r="S164" s="1782">
        <f t="shared" si="17"/>
        <v>0</v>
      </c>
      <c r="T164" s="1774">
        <f>SUM(U168:U179)</f>
        <v>15000000</v>
      </c>
      <c r="U164" s="1775"/>
    </row>
    <row r="165" spans="1:21">
      <c r="A165" s="1826"/>
      <c r="B165" s="1866"/>
      <c r="C165" s="1851"/>
      <c r="D165" s="1851"/>
      <c r="E165" s="1851"/>
      <c r="F165" s="1846"/>
      <c r="G165" s="1846"/>
      <c r="H165" s="1846"/>
      <c r="I165" s="1846"/>
      <c r="J165" s="1823"/>
      <c r="K165" s="1823"/>
      <c r="L165" s="1819"/>
      <c r="M165" s="1821"/>
      <c r="N165" s="1783"/>
      <c r="O165" s="1781"/>
      <c r="P165" s="1783"/>
      <c r="Q165" s="1803"/>
      <c r="R165" s="1783"/>
      <c r="S165" s="1783"/>
      <c r="T165" s="1776"/>
      <c r="U165" s="1777"/>
    </row>
    <row r="166" spans="1:21">
      <c r="A166" s="1826"/>
      <c r="B166" s="1876" t="s">
        <v>107</v>
      </c>
      <c r="C166" s="1781"/>
      <c r="D166" s="1781">
        <v>92695</v>
      </c>
      <c r="E166" s="1781"/>
      <c r="F166" s="1846" t="s">
        <v>130</v>
      </c>
      <c r="G166" s="1846"/>
      <c r="H166" s="1846"/>
      <c r="I166" s="1846"/>
      <c r="J166" s="1823"/>
      <c r="K166" s="1823"/>
      <c r="L166" s="1819"/>
      <c r="M166" s="1821"/>
      <c r="N166" s="1783"/>
      <c r="O166" s="1781"/>
      <c r="P166" s="1783"/>
      <c r="Q166" s="1803"/>
      <c r="R166" s="1783"/>
      <c r="S166" s="1783"/>
      <c r="T166" s="1776"/>
      <c r="U166" s="1777"/>
    </row>
    <row r="167" spans="1:21" ht="20.25" customHeight="1">
      <c r="A167" s="1826"/>
      <c r="B167" s="1877"/>
      <c r="C167" s="1832"/>
      <c r="D167" s="1832"/>
      <c r="E167" s="1832"/>
      <c r="F167" s="1847"/>
      <c r="G167" s="1847"/>
      <c r="H167" s="1847"/>
      <c r="I167" s="1847"/>
      <c r="J167" s="1823"/>
      <c r="K167" s="1823"/>
      <c r="L167" s="1819"/>
      <c r="M167" s="1821"/>
      <c r="N167" s="1783"/>
      <c r="O167" s="1781"/>
      <c r="P167" s="1783"/>
      <c r="Q167" s="1803"/>
      <c r="R167" s="1783"/>
      <c r="S167" s="1783"/>
      <c r="T167" s="1778"/>
      <c r="U167" s="1779"/>
    </row>
    <row r="168" spans="1:21" ht="18" customHeight="1">
      <c r="A168" s="1827"/>
      <c r="B168" s="1834" t="s">
        <v>398</v>
      </c>
      <c r="C168" s="1835"/>
      <c r="D168" s="1835"/>
      <c r="E168" s="1835"/>
      <c r="F168" s="1835"/>
      <c r="G168" s="1835"/>
      <c r="H168" s="1835"/>
      <c r="I168" s="1836"/>
      <c r="J168" s="1872"/>
      <c r="K168" s="1823"/>
      <c r="L168" s="1819"/>
      <c r="M168" s="1781" t="s">
        <v>406</v>
      </c>
      <c r="N168" s="1787">
        <f>SUM(P168:S171)</f>
        <v>10800000</v>
      </c>
      <c r="O168" s="1781" t="s">
        <v>112</v>
      </c>
      <c r="P168" s="1784">
        <v>0</v>
      </c>
      <c r="Q168" s="1799">
        <v>10800000</v>
      </c>
      <c r="R168" s="1787">
        <v>0</v>
      </c>
      <c r="S168" s="1787">
        <v>0</v>
      </c>
      <c r="T168" s="1770">
        <f>$P$6</f>
        <v>2013</v>
      </c>
      <c r="U168" s="1772">
        <f>P164</f>
        <v>0</v>
      </c>
    </row>
    <row r="169" spans="1:21" ht="8.25" customHeight="1">
      <c r="A169" s="1827"/>
      <c r="B169" s="1837"/>
      <c r="C169" s="1838"/>
      <c r="D169" s="1838"/>
      <c r="E169" s="1838"/>
      <c r="F169" s="1838"/>
      <c r="G169" s="1838"/>
      <c r="H169" s="1838"/>
      <c r="I169" s="1839"/>
      <c r="J169" s="1872"/>
      <c r="K169" s="1823"/>
      <c r="L169" s="1819"/>
      <c r="M169" s="1781"/>
      <c r="N169" s="1787"/>
      <c r="O169" s="1781"/>
      <c r="P169" s="1785"/>
      <c r="Q169" s="1800"/>
      <c r="R169" s="1787"/>
      <c r="S169" s="1787"/>
      <c r="T169" s="1771"/>
      <c r="U169" s="1767"/>
    </row>
    <row r="170" spans="1:21" ht="6" customHeight="1">
      <c r="A170" s="1827"/>
      <c r="B170" s="1837"/>
      <c r="C170" s="1838"/>
      <c r="D170" s="1838"/>
      <c r="E170" s="1838"/>
      <c r="F170" s="1838"/>
      <c r="G170" s="1838"/>
      <c r="H170" s="1838"/>
      <c r="I170" s="1839"/>
      <c r="J170" s="1872"/>
      <c r="K170" s="1823"/>
      <c r="L170" s="1783">
        <v>692160</v>
      </c>
      <c r="M170" s="1781"/>
      <c r="N170" s="1787"/>
      <c r="O170" s="1781"/>
      <c r="P170" s="1785"/>
      <c r="Q170" s="1800"/>
      <c r="R170" s="1787"/>
      <c r="S170" s="1787"/>
      <c r="T170" s="1768">
        <f>$Q$6</f>
        <v>2014</v>
      </c>
      <c r="U170" s="1804">
        <f>Q164</f>
        <v>15000000</v>
      </c>
    </row>
    <row r="171" spans="1:21" ht="18.75" customHeight="1">
      <c r="A171" s="1827"/>
      <c r="B171" s="1840"/>
      <c r="C171" s="1841"/>
      <c r="D171" s="1841"/>
      <c r="E171" s="1841"/>
      <c r="F171" s="1841"/>
      <c r="G171" s="1841"/>
      <c r="H171" s="1841"/>
      <c r="I171" s="1842"/>
      <c r="J171" s="1872"/>
      <c r="K171" s="1823"/>
      <c r="L171" s="1783"/>
      <c r="M171" s="1781"/>
      <c r="N171" s="1784"/>
      <c r="O171" s="1781"/>
      <c r="P171" s="1786"/>
      <c r="Q171" s="1817"/>
      <c r="R171" s="1787"/>
      <c r="S171" s="1787"/>
      <c r="T171" s="1768"/>
      <c r="U171" s="1804"/>
    </row>
    <row r="172" spans="1:21" ht="6" customHeight="1">
      <c r="A172" s="1827"/>
      <c r="B172" s="1216"/>
      <c r="C172" s="1217"/>
      <c r="D172" s="1217"/>
      <c r="E172" s="1217"/>
      <c r="F172" s="1217"/>
      <c r="G172" s="1217"/>
      <c r="H172" s="1217"/>
      <c r="I172" s="1218"/>
      <c r="J172" s="1872"/>
      <c r="K172" s="1823"/>
      <c r="L172" s="1783"/>
      <c r="M172" s="1814" t="s">
        <v>509</v>
      </c>
      <c r="N172" s="1787">
        <f>SUM(P172:S175)</f>
        <v>4200000</v>
      </c>
      <c r="O172" s="1781" t="s">
        <v>112</v>
      </c>
      <c r="P172" s="1784">
        <v>0</v>
      </c>
      <c r="Q172" s="1799">
        <v>4200000</v>
      </c>
      <c r="R172" s="1787">
        <v>0</v>
      </c>
      <c r="S172" s="1787">
        <v>0</v>
      </c>
      <c r="T172" s="1214"/>
      <c r="U172" s="1220"/>
    </row>
    <row r="173" spans="1:21" ht="6" customHeight="1">
      <c r="A173" s="1827"/>
      <c r="B173" s="1216"/>
      <c r="C173" s="1217"/>
      <c r="D173" s="1217"/>
      <c r="E173" s="1217"/>
      <c r="F173" s="1217"/>
      <c r="G173" s="1217"/>
      <c r="H173" s="1217"/>
      <c r="I173" s="1218"/>
      <c r="J173" s="1872"/>
      <c r="K173" s="1823"/>
      <c r="L173" s="1783"/>
      <c r="M173" s="1815"/>
      <c r="N173" s="1787"/>
      <c r="O173" s="1781"/>
      <c r="P173" s="1785"/>
      <c r="Q173" s="1800"/>
      <c r="R173" s="1787"/>
      <c r="S173" s="1787"/>
      <c r="T173" s="1214"/>
      <c r="U173" s="1220"/>
    </row>
    <row r="174" spans="1:21" ht="10.5" customHeight="1">
      <c r="A174" s="1827"/>
      <c r="B174" s="1216"/>
      <c r="C174" s="1217"/>
      <c r="D174" s="1217"/>
      <c r="E174" s="1217"/>
      <c r="F174" s="1217"/>
      <c r="G174" s="1217"/>
      <c r="H174" s="1217"/>
      <c r="I174" s="1218"/>
      <c r="J174" s="1872"/>
      <c r="K174" s="1823"/>
      <c r="L174" s="1783"/>
      <c r="M174" s="1815"/>
      <c r="N174" s="1787"/>
      <c r="O174" s="1781"/>
      <c r="P174" s="1785"/>
      <c r="Q174" s="1800"/>
      <c r="R174" s="1787"/>
      <c r="S174" s="1787"/>
      <c r="T174" s="1214"/>
      <c r="U174" s="1220"/>
    </row>
    <row r="175" spans="1:21">
      <c r="A175" s="1827"/>
      <c r="B175" s="1216"/>
      <c r="C175" s="1217"/>
      <c r="D175" s="1217"/>
      <c r="E175" s="1217"/>
      <c r="F175" s="1217"/>
      <c r="G175" s="1217"/>
      <c r="H175" s="1217"/>
      <c r="I175" s="1218"/>
      <c r="J175" s="1872"/>
      <c r="K175" s="1823"/>
      <c r="L175" s="1783"/>
      <c r="M175" s="1816"/>
      <c r="N175" s="1787"/>
      <c r="O175" s="1781"/>
      <c r="P175" s="1786"/>
      <c r="Q175" s="1817"/>
      <c r="R175" s="1787"/>
      <c r="S175" s="1787"/>
      <c r="T175" s="1214"/>
      <c r="U175" s="1220"/>
    </row>
    <row r="176" spans="1:21" ht="6.75" customHeight="1">
      <c r="A176" s="1827"/>
      <c r="B176" s="1852" t="s">
        <v>529</v>
      </c>
      <c r="C176" s="1853"/>
      <c r="D176" s="1853"/>
      <c r="E176" s="1853"/>
      <c r="F176" s="1853"/>
      <c r="G176" s="1853"/>
      <c r="H176" s="1853"/>
      <c r="I176" s="1854"/>
      <c r="J176" s="1823"/>
      <c r="K176" s="1823"/>
      <c r="L176" s="1783"/>
      <c r="M176" s="1823" t="s">
        <v>123</v>
      </c>
      <c r="N176" s="1786">
        <f>SUM(P176:S179)</f>
        <v>0</v>
      </c>
      <c r="O176" s="1895" t="s">
        <v>112</v>
      </c>
      <c r="P176" s="1785">
        <v>0</v>
      </c>
      <c r="Q176" s="1800">
        <v>0</v>
      </c>
      <c r="R176" s="1786">
        <v>0</v>
      </c>
      <c r="S176" s="1786">
        <v>0</v>
      </c>
      <c r="T176" s="1768"/>
      <c r="U176" s="1767"/>
    </row>
    <row r="177" spans="1:21">
      <c r="A177" s="1827"/>
      <c r="B177" s="1852"/>
      <c r="C177" s="1853"/>
      <c r="D177" s="1853"/>
      <c r="E177" s="1853"/>
      <c r="F177" s="1853"/>
      <c r="G177" s="1853"/>
      <c r="H177" s="1853"/>
      <c r="I177" s="1854"/>
      <c r="J177" s="1823"/>
      <c r="K177" s="1823"/>
      <c r="L177" s="1783"/>
      <c r="M177" s="1823"/>
      <c r="N177" s="1787"/>
      <c r="O177" s="1781"/>
      <c r="P177" s="1785"/>
      <c r="Q177" s="1800"/>
      <c r="R177" s="1787"/>
      <c r="S177" s="1787"/>
      <c r="T177" s="1768"/>
      <c r="U177" s="1767"/>
    </row>
    <row r="178" spans="1:21" ht="4.5" customHeight="1">
      <c r="A178" s="1827"/>
      <c r="B178" s="1852"/>
      <c r="C178" s="1853"/>
      <c r="D178" s="1853"/>
      <c r="E178" s="1853"/>
      <c r="F178" s="1853"/>
      <c r="G178" s="1853"/>
      <c r="H178" s="1853"/>
      <c r="I178" s="1854"/>
      <c r="J178" s="1823"/>
      <c r="K178" s="1823"/>
      <c r="L178" s="1783"/>
      <c r="M178" s="1823"/>
      <c r="N178" s="1787"/>
      <c r="O178" s="1781"/>
      <c r="P178" s="1785"/>
      <c r="Q178" s="1800"/>
      <c r="R178" s="1787"/>
      <c r="S178" s="1787"/>
      <c r="T178" s="1768"/>
      <c r="U178" s="1767"/>
    </row>
    <row r="179" spans="1:21" ht="14.25" customHeight="1" thickBot="1">
      <c r="A179" s="1863"/>
      <c r="B179" s="1855"/>
      <c r="C179" s="1856"/>
      <c r="D179" s="1856"/>
      <c r="E179" s="1856"/>
      <c r="F179" s="1856"/>
      <c r="G179" s="1856"/>
      <c r="H179" s="1856"/>
      <c r="I179" s="1857"/>
      <c r="J179" s="1824"/>
      <c r="K179" s="1824"/>
      <c r="L179" s="1858"/>
      <c r="M179" s="1824"/>
      <c r="N179" s="1788"/>
      <c r="O179" s="1896"/>
      <c r="P179" s="1798"/>
      <c r="Q179" s="1801"/>
      <c r="R179" s="1788"/>
      <c r="S179" s="1788"/>
      <c r="T179" s="1769"/>
      <c r="U179" s="1773"/>
    </row>
    <row r="180" spans="1:21" ht="10.5" customHeight="1" thickTop="1" thickBot="1">
      <c r="A180" s="1232"/>
      <c r="B180" s="1215"/>
      <c r="C180" s="1215"/>
      <c r="D180" s="1215"/>
      <c r="E180" s="1215"/>
      <c r="F180" s="1215"/>
      <c r="G180" s="1215"/>
      <c r="H180" s="1215"/>
      <c r="I180" s="1215"/>
      <c r="J180" s="65"/>
      <c r="K180" s="65"/>
      <c r="L180" s="64"/>
      <c r="M180" s="65"/>
      <c r="N180" s="193"/>
      <c r="O180" s="65"/>
      <c r="P180" s="193"/>
      <c r="Q180" s="1228"/>
      <c r="R180" s="193"/>
      <c r="S180" s="193"/>
      <c r="T180" s="1219"/>
      <c r="U180" s="1220"/>
    </row>
    <row r="181" spans="1:21" ht="13.5" thickTop="1">
      <c r="A181" s="1825">
        <v>14</v>
      </c>
      <c r="B181" s="1864" t="s">
        <v>101</v>
      </c>
      <c r="C181" s="1865"/>
      <c r="D181" s="1865">
        <v>801</v>
      </c>
      <c r="E181" s="1865"/>
      <c r="F181" s="1871"/>
      <c r="G181" s="1871"/>
      <c r="H181" s="1871"/>
      <c r="I181" s="1871"/>
      <c r="J181" s="1822"/>
      <c r="K181" s="1822"/>
      <c r="L181" s="1818">
        <v>706000</v>
      </c>
      <c r="M181" s="1820" t="s">
        <v>120</v>
      </c>
      <c r="N181" s="1782">
        <f>IF(SUM(N185:N192)=T181,SUM(N185:N192),"wielbłąd")</f>
        <v>706000</v>
      </c>
      <c r="O181" s="1780" t="s">
        <v>112</v>
      </c>
      <c r="P181" s="1782">
        <f t="shared" ref="P181" si="18">SUM(P185:P192)</f>
        <v>0</v>
      </c>
      <c r="Q181" s="1802">
        <f t="shared" ref="Q181:S181" si="19">SUM(Q185:Q192)</f>
        <v>706000</v>
      </c>
      <c r="R181" s="1782">
        <f t="shared" si="19"/>
        <v>0</v>
      </c>
      <c r="S181" s="1782">
        <f t="shared" si="19"/>
        <v>0</v>
      </c>
      <c r="T181" s="1774">
        <f>SUM(U185:U192)</f>
        <v>706000</v>
      </c>
      <c r="U181" s="1775"/>
    </row>
    <row r="182" spans="1:21">
      <c r="A182" s="1826"/>
      <c r="B182" s="1866"/>
      <c r="C182" s="1851"/>
      <c r="D182" s="1851"/>
      <c r="E182" s="1851"/>
      <c r="F182" s="1846"/>
      <c r="G182" s="1846"/>
      <c r="H182" s="1846"/>
      <c r="I182" s="1846"/>
      <c r="J182" s="1823"/>
      <c r="K182" s="1823"/>
      <c r="L182" s="1819"/>
      <c r="M182" s="1821"/>
      <c r="N182" s="1783"/>
      <c r="O182" s="1781"/>
      <c r="P182" s="1783"/>
      <c r="Q182" s="1803"/>
      <c r="R182" s="1783"/>
      <c r="S182" s="1783"/>
      <c r="T182" s="1776"/>
      <c r="U182" s="1777"/>
    </row>
    <row r="183" spans="1:21">
      <c r="A183" s="1826"/>
      <c r="B183" s="1876" t="s">
        <v>107</v>
      </c>
      <c r="C183" s="1781"/>
      <c r="D183" s="1781">
        <v>80120</v>
      </c>
      <c r="E183" s="1781"/>
      <c r="F183" s="1846"/>
      <c r="G183" s="1846"/>
      <c r="H183" s="1846"/>
      <c r="I183" s="1846"/>
      <c r="J183" s="1823"/>
      <c r="K183" s="1823"/>
      <c r="L183" s="1819"/>
      <c r="M183" s="1821"/>
      <c r="N183" s="1783"/>
      <c r="O183" s="1781"/>
      <c r="P183" s="1783"/>
      <c r="Q183" s="1803"/>
      <c r="R183" s="1783"/>
      <c r="S183" s="1783"/>
      <c r="T183" s="1776"/>
      <c r="U183" s="1777"/>
    </row>
    <row r="184" spans="1:21">
      <c r="A184" s="1826"/>
      <c r="B184" s="1877"/>
      <c r="C184" s="1832"/>
      <c r="D184" s="1832"/>
      <c r="E184" s="1832"/>
      <c r="F184" s="1847"/>
      <c r="G184" s="1847"/>
      <c r="H184" s="1847"/>
      <c r="I184" s="1847"/>
      <c r="J184" s="1823"/>
      <c r="K184" s="1823"/>
      <c r="L184" s="1819"/>
      <c r="M184" s="1821"/>
      <c r="N184" s="1783"/>
      <c r="O184" s="1781"/>
      <c r="P184" s="1783"/>
      <c r="Q184" s="1803"/>
      <c r="R184" s="1783"/>
      <c r="S184" s="1783"/>
      <c r="T184" s="1778"/>
      <c r="U184" s="1779"/>
    </row>
    <row r="185" spans="1:21">
      <c r="A185" s="1827"/>
      <c r="B185" s="1834" t="s">
        <v>511</v>
      </c>
      <c r="C185" s="1835"/>
      <c r="D185" s="1835"/>
      <c r="E185" s="1835"/>
      <c r="F185" s="1835"/>
      <c r="G185" s="1835"/>
      <c r="H185" s="1835"/>
      <c r="I185" s="1836"/>
      <c r="J185" s="1872"/>
      <c r="K185" s="1823"/>
      <c r="L185" s="1819"/>
      <c r="M185" s="1781" t="s">
        <v>360</v>
      </c>
      <c r="N185" s="1787">
        <f>SUM(P185:S188)</f>
        <v>351000</v>
      </c>
      <c r="O185" s="1781" t="s">
        <v>112</v>
      </c>
      <c r="P185" s="1784">
        <v>0</v>
      </c>
      <c r="Q185" s="1799">
        <v>351000</v>
      </c>
      <c r="R185" s="1787">
        <v>0</v>
      </c>
      <c r="S185" s="1787">
        <v>0</v>
      </c>
      <c r="T185" s="1770">
        <f>$P$6</f>
        <v>2013</v>
      </c>
      <c r="U185" s="1772">
        <f>P181</f>
        <v>0</v>
      </c>
    </row>
    <row r="186" spans="1:21">
      <c r="A186" s="1827"/>
      <c r="B186" s="1837"/>
      <c r="C186" s="1838"/>
      <c r="D186" s="1838"/>
      <c r="E186" s="1838"/>
      <c r="F186" s="1838"/>
      <c r="G186" s="1838"/>
      <c r="H186" s="1838"/>
      <c r="I186" s="1839"/>
      <c r="J186" s="1872"/>
      <c r="K186" s="1823"/>
      <c r="L186" s="1819"/>
      <c r="M186" s="1781"/>
      <c r="N186" s="1787"/>
      <c r="O186" s="1781"/>
      <c r="P186" s="1785"/>
      <c r="Q186" s="1800"/>
      <c r="R186" s="1787"/>
      <c r="S186" s="1787"/>
      <c r="T186" s="1771"/>
      <c r="U186" s="1767"/>
    </row>
    <row r="187" spans="1:21">
      <c r="A187" s="1827"/>
      <c r="B187" s="1837"/>
      <c r="C187" s="1838"/>
      <c r="D187" s="1838"/>
      <c r="E187" s="1838"/>
      <c r="F187" s="1838"/>
      <c r="G187" s="1838"/>
      <c r="H187" s="1838"/>
      <c r="I187" s="1839"/>
      <c r="J187" s="1872"/>
      <c r="K187" s="1823"/>
      <c r="L187" s="1783">
        <v>0</v>
      </c>
      <c r="M187" s="1781"/>
      <c r="N187" s="1787"/>
      <c r="O187" s="1781"/>
      <c r="P187" s="1785"/>
      <c r="Q187" s="1800"/>
      <c r="R187" s="1787"/>
      <c r="S187" s="1787"/>
      <c r="T187" s="1768">
        <f>$Q$6</f>
        <v>2014</v>
      </c>
      <c r="U187" s="1767">
        <f>Q181</f>
        <v>706000</v>
      </c>
    </row>
    <row r="188" spans="1:21">
      <c r="A188" s="1827"/>
      <c r="B188" s="1840"/>
      <c r="C188" s="1841"/>
      <c r="D188" s="1841"/>
      <c r="E188" s="1841"/>
      <c r="F188" s="1841"/>
      <c r="G188" s="1841"/>
      <c r="H188" s="1841"/>
      <c r="I188" s="1842"/>
      <c r="J188" s="1872"/>
      <c r="K188" s="1823"/>
      <c r="L188" s="1783"/>
      <c r="M188" s="1781"/>
      <c r="N188" s="1784"/>
      <c r="O188" s="1781"/>
      <c r="P188" s="1786"/>
      <c r="Q188" s="1817"/>
      <c r="R188" s="1787"/>
      <c r="S188" s="1787"/>
      <c r="T188" s="1768"/>
      <c r="U188" s="1767"/>
    </row>
    <row r="189" spans="1:21">
      <c r="A189" s="1827"/>
      <c r="B189" s="1852" t="s">
        <v>530</v>
      </c>
      <c r="C189" s="1853"/>
      <c r="D189" s="1853"/>
      <c r="E189" s="1853"/>
      <c r="F189" s="1853"/>
      <c r="G189" s="1853"/>
      <c r="H189" s="1853"/>
      <c r="I189" s="1854"/>
      <c r="J189" s="1823"/>
      <c r="K189" s="1823"/>
      <c r="L189" s="1783"/>
      <c r="M189" s="1832" t="s">
        <v>123</v>
      </c>
      <c r="N189" s="1787">
        <f>SUM(P189:S192)</f>
        <v>355000</v>
      </c>
      <c r="O189" s="1781" t="s">
        <v>112</v>
      </c>
      <c r="P189" s="1784">
        <v>0</v>
      </c>
      <c r="Q189" s="1799">
        <v>355000</v>
      </c>
      <c r="R189" s="1787">
        <v>0</v>
      </c>
      <c r="S189" s="1787">
        <v>0</v>
      </c>
      <c r="T189" s="1768"/>
      <c r="U189" s="1767"/>
    </row>
    <row r="190" spans="1:21" ht="1.5" customHeight="1">
      <c r="A190" s="1827"/>
      <c r="B190" s="1852"/>
      <c r="C190" s="1853"/>
      <c r="D190" s="1853"/>
      <c r="E190" s="1853"/>
      <c r="F190" s="1853"/>
      <c r="G190" s="1853"/>
      <c r="H190" s="1853"/>
      <c r="I190" s="1854"/>
      <c r="J190" s="1823"/>
      <c r="K190" s="1823"/>
      <c r="L190" s="1783"/>
      <c r="M190" s="1823"/>
      <c r="N190" s="1787"/>
      <c r="O190" s="1781"/>
      <c r="P190" s="1785"/>
      <c r="Q190" s="1800"/>
      <c r="R190" s="1787"/>
      <c r="S190" s="1787"/>
      <c r="T190" s="1768"/>
      <c r="U190" s="1767"/>
    </row>
    <row r="191" spans="1:21" ht="8.25" customHeight="1">
      <c r="A191" s="1827"/>
      <c r="B191" s="1852"/>
      <c r="C191" s="1853"/>
      <c r="D191" s="1853"/>
      <c r="E191" s="1853"/>
      <c r="F191" s="1853"/>
      <c r="G191" s="1853"/>
      <c r="H191" s="1853"/>
      <c r="I191" s="1854"/>
      <c r="J191" s="1823"/>
      <c r="K191" s="1823"/>
      <c r="L191" s="1783"/>
      <c r="M191" s="1823"/>
      <c r="N191" s="1787"/>
      <c r="O191" s="1781"/>
      <c r="P191" s="1785"/>
      <c r="Q191" s="1800"/>
      <c r="R191" s="1787"/>
      <c r="S191" s="1787"/>
      <c r="T191" s="1768"/>
      <c r="U191" s="1767"/>
    </row>
    <row r="192" spans="1:21" ht="13.5" thickBot="1">
      <c r="A192" s="1828"/>
      <c r="B192" s="1881"/>
      <c r="C192" s="1882"/>
      <c r="D192" s="1882"/>
      <c r="E192" s="1882"/>
      <c r="F192" s="1882"/>
      <c r="G192" s="1882"/>
      <c r="H192" s="1882"/>
      <c r="I192" s="1883"/>
      <c r="J192" s="1833"/>
      <c r="K192" s="1833"/>
      <c r="L192" s="1894"/>
      <c r="M192" s="1833"/>
      <c r="N192" s="1795"/>
      <c r="O192" s="1875"/>
      <c r="P192" s="1884"/>
      <c r="Q192" s="1900"/>
      <c r="R192" s="1795"/>
      <c r="S192" s="1795"/>
      <c r="T192" s="1796"/>
      <c r="U192" s="1797"/>
    </row>
    <row r="193" spans="1:21" ht="8.25" customHeight="1" thickBot="1">
      <c r="A193" s="1141"/>
      <c r="B193" s="1142"/>
      <c r="C193" s="1142"/>
      <c r="D193" s="1142"/>
      <c r="E193" s="1142"/>
      <c r="F193" s="1142"/>
      <c r="G193" s="1142"/>
      <c r="H193" s="1142"/>
      <c r="I193" s="1142"/>
      <c r="J193" s="65"/>
      <c r="K193" s="65"/>
      <c r="L193" s="64"/>
      <c r="M193" s="65"/>
      <c r="N193" s="193"/>
      <c r="O193" s="65"/>
      <c r="P193" s="193"/>
      <c r="Q193" s="1228"/>
      <c r="R193" s="193"/>
      <c r="S193" s="193"/>
      <c r="T193" s="1135"/>
      <c r="U193" s="194"/>
    </row>
    <row r="194" spans="1:21">
      <c r="A194" s="1829">
        <v>16</v>
      </c>
      <c r="B194" s="1848" t="s">
        <v>101</v>
      </c>
      <c r="C194" s="1849"/>
      <c r="D194" s="1849">
        <v>900</v>
      </c>
      <c r="E194" s="1849"/>
      <c r="F194" s="1873" t="s">
        <v>442</v>
      </c>
      <c r="G194" s="1873"/>
      <c r="H194" s="1873"/>
      <c r="I194" s="1873"/>
      <c r="J194" s="1874">
        <v>2012</v>
      </c>
      <c r="K194" s="1874">
        <v>2014</v>
      </c>
      <c r="L194" s="2020">
        <v>2740478</v>
      </c>
      <c r="M194" s="1897" t="s">
        <v>120</v>
      </c>
      <c r="N194" s="1794" t="str">
        <f>IF(SUM(N198)=T194,SUM(N198:N201),"wielbłąd")</f>
        <v>wielbłąd</v>
      </c>
      <c r="O194" s="1874" t="s">
        <v>112</v>
      </c>
      <c r="P194" s="1794">
        <f>SUM(P198)</f>
        <v>200000</v>
      </c>
      <c r="Q194" s="1901">
        <f t="shared" ref="Q194:S194" si="20">SUM(Q198)</f>
        <v>50000</v>
      </c>
      <c r="R194" s="1794">
        <f t="shared" si="20"/>
        <v>2424058</v>
      </c>
      <c r="S194" s="1794">
        <f t="shared" si="20"/>
        <v>0</v>
      </c>
      <c r="T194" s="1861">
        <f>SUM(U198:U201)</f>
        <v>250000</v>
      </c>
      <c r="U194" s="1862"/>
    </row>
    <row r="195" spans="1:21">
      <c r="A195" s="1830"/>
      <c r="B195" s="1850"/>
      <c r="C195" s="1851"/>
      <c r="D195" s="1851"/>
      <c r="E195" s="1851"/>
      <c r="F195" s="1846"/>
      <c r="G195" s="1846"/>
      <c r="H195" s="1846"/>
      <c r="I195" s="1846"/>
      <c r="J195" s="1781"/>
      <c r="K195" s="1781"/>
      <c r="L195" s="2021"/>
      <c r="M195" s="1821"/>
      <c r="N195" s="1783"/>
      <c r="O195" s="1781"/>
      <c r="P195" s="1783"/>
      <c r="Q195" s="1803"/>
      <c r="R195" s="1783"/>
      <c r="S195" s="1783"/>
      <c r="T195" s="1776"/>
      <c r="U195" s="1777"/>
    </row>
    <row r="196" spans="1:21">
      <c r="A196" s="1830"/>
      <c r="B196" s="1844" t="s">
        <v>107</v>
      </c>
      <c r="C196" s="1781"/>
      <c r="D196" s="1781">
        <v>90095</v>
      </c>
      <c r="E196" s="1781"/>
      <c r="F196" s="1846" t="s">
        <v>130</v>
      </c>
      <c r="G196" s="1846"/>
      <c r="H196" s="1846"/>
      <c r="I196" s="1846"/>
      <c r="J196" s="1781"/>
      <c r="K196" s="1781"/>
      <c r="L196" s="2021"/>
      <c r="M196" s="1821"/>
      <c r="N196" s="1783"/>
      <c r="O196" s="1781"/>
      <c r="P196" s="1783"/>
      <c r="Q196" s="1803"/>
      <c r="R196" s="1783"/>
      <c r="S196" s="1783"/>
      <c r="T196" s="1776"/>
      <c r="U196" s="1777"/>
    </row>
    <row r="197" spans="1:21">
      <c r="A197" s="1830"/>
      <c r="B197" s="1845"/>
      <c r="C197" s="1832"/>
      <c r="D197" s="1832"/>
      <c r="E197" s="1832"/>
      <c r="F197" s="1847"/>
      <c r="G197" s="1847"/>
      <c r="H197" s="1847"/>
      <c r="I197" s="1847"/>
      <c r="J197" s="1781"/>
      <c r="K197" s="1781"/>
      <c r="L197" s="2021"/>
      <c r="M197" s="1821"/>
      <c r="N197" s="1783"/>
      <c r="O197" s="1781"/>
      <c r="P197" s="1783"/>
      <c r="Q197" s="1803"/>
      <c r="R197" s="1783"/>
      <c r="S197" s="1783"/>
      <c r="T197" s="1778"/>
      <c r="U197" s="1779"/>
    </row>
    <row r="198" spans="1:21">
      <c r="A198" s="1830"/>
      <c r="B198" s="1878" t="s">
        <v>443</v>
      </c>
      <c r="C198" s="1835"/>
      <c r="D198" s="1835"/>
      <c r="E198" s="1835"/>
      <c r="F198" s="1835"/>
      <c r="G198" s="1835"/>
      <c r="H198" s="1835"/>
      <c r="I198" s="1836"/>
      <c r="J198" s="1781"/>
      <c r="K198" s="1781"/>
      <c r="L198" s="2021"/>
      <c r="M198" s="1781" t="s">
        <v>123</v>
      </c>
      <c r="N198" s="1787">
        <f>SUM(P198:S201)</f>
        <v>2674058</v>
      </c>
      <c r="O198" s="1781" t="s">
        <v>112</v>
      </c>
      <c r="P198" s="1784">
        <v>200000</v>
      </c>
      <c r="Q198" s="1898">
        <v>50000</v>
      </c>
      <c r="R198" s="1787">
        <f>2374058+50000</f>
        <v>2424058</v>
      </c>
      <c r="S198" s="1787">
        <v>0</v>
      </c>
      <c r="T198" s="1859">
        <f>$P$6</f>
        <v>2013</v>
      </c>
      <c r="U198" s="1772">
        <f>P194</f>
        <v>200000</v>
      </c>
    </row>
    <row r="199" spans="1:21">
      <c r="A199" s="1830"/>
      <c r="B199" s="1879"/>
      <c r="C199" s="1838"/>
      <c r="D199" s="1838"/>
      <c r="E199" s="1838"/>
      <c r="F199" s="1838"/>
      <c r="G199" s="1838"/>
      <c r="H199" s="1838"/>
      <c r="I199" s="1839"/>
      <c r="J199" s="1781"/>
      <c r="K199" s="1781"/>
      <c r="L199" s="2021"/>
      <c r="M199" s="1781"/>
      <c r="N199" s="1787"/>
      <c r="O199" s="1781"/>
      <c r="P199" s="1785"/>
      <c r="Q199" s="1898"/>
      <c r="R199" s="1787"/>
      <c r="S199" s="1787"/>
      <c r="T199" s="1860"/>
      <c r="U199" s="1767"/>
    </row>
    <row r="200" spans="1:21" ht="3" customHeight="1">
      <c r="A200" s="1830"/>
      <c r="B200" s="1879"/>
      <c r="C200" s="1838"/>
      <c r="D200" s="1838"/>
      <c r="E200" s="1838"/>
      <c r="F200" s="1838"/>
      <c r="G200" s="1838"/>
      <c r="H200" s="1838"/>
      <c r="I200" s="1839"/>
      <c r="J200" s="1781"/>
      <c r="K200" s="1781"/>
      <c r="L200" s="1783">
        <v>66420</v>
      </c>
      <c r="M200" s="1781"/>
      <c r="N200" s="1787"/>
      <c r="O200" s="1781"/>
      <c r="P200" s="1785"/>
      <c r="Q200" s="1898"/>
      <c r="R200" s="1787"/>
      <c r="S200" s="1787"/>
      <c r="T200" s="1843">
        <f>$Q$6</f>
        <v>2014</v>
      </c>
      <c r="U200" s="1767">
        <f>Q194</f>
        <v>50000</v>
      </c>
    </row>
    <row r="201" spans="1:21">
      <c r="A201" s="1830"/>
      <c r="B201" s="1880"/>
      <c r="C201" s="1841"/>
      <c r="D201" s="1841"/>
      <c r="E201" s="1841"/>
      <c r="F201" s="1841"/>
      <c r="G201" s="1841"/>
      <c r="H201" s="1841"/>
      <c r="I201" s="1842"/>
      <c r="J201" s="1781"/>
      <c r="K201" s="1781"/>
      <c r="L201" s="1783"/>
      <c r="M201" s="1781"/>
      <c r="N201" s="1787"/>
      <c r="O201" s="1781"/>
      <c r="P201" s="1785"/>
      <c r="Q201" s="1898"/>
      <c r="R201" s="1787"/>
      <c r="S201" s="1787"/>
      <c r="T201" s="1843"/>
      <c r="U201" s="1767"/>
    </row>
    <row r="202" spans="1:21">
      <c r="A202" s="1830"/>
      <c r="B202" s="1885" t="s">
        <v>444</v>
      </c>
      <c r="C202" s="1886"/>
      <c r="D202" s="1886"/>
      <c r="E202" s="1886"/>
      <c r="F202" s="1886"/>
      <c r="G202" s="1886"/>
      <c r="H202" s="1886"/>
      <c r="I202" s="1887"/>
      <c r="J202" s="1781"/>
      <c r="K202" s="1781"/>
      <c r="L202" s="1783"/>
      <c r="M202" s="1781"/>
      <c r="N202" s="1787"/>
      <c r="O202" s="1781"/>
      <c r="P202" s="1785"/>
      <c r="Q202" s="1898"/>
      <c r="R202" s="1787"/>
      <c r="S202" s="1787"/>
      <c r="T202" s="1135"/>
      <c r="U202" s="1134"/>
    </row>
    <row r="203" spans="1:21">
      <c r="A203" s="1830"/>
      <c r="B203" s="1888"/>
      <c r="C203" s="1889"/>
      <c r="D203" s="1889"/>
      <c r="E203" s="1889"/>
      <c r="F203" s="1889"/>
      <c r="G203" s="1889"/>
      <c r="H203" s="1889"/>
      <c r="I203" s="1890"/>
      <c r="J203" s="1781"/>
      <c r="K203" s="1781"/>
      <c r="L203" s="1783"/>
      <c r="M203" s="1781"/>
      <c r="N203" s="1787"/>
      <c r="O203" s="1781"/>
      <c r="P203" s="1785"/>
      <c r="Q203" s="1898"/>
      <c r="R203" s="1787"/>
      <c r="S203" s="1787"/>
      <c r="T203" s="1135"/>
      <c r="U203" s="1134"/>
    </row>
    <row r="204" spans="1:21" ht="6.75" customHeight="1" thickBot="1">
      <c r="A204" s="1831"/>
      <c r="B204" s="1891"/>
      <c r="C204" s="1892"/>
      <c r="D204" s="1892"/>
      <c r="E204" s="1892"/>
      <c r="F204" s="1892"/>
      <c r="G204" s="1892"/>
      <c r="H204" s="1892"/>
      <c r="I204" s="1893"/>
      <c r="J204" s="1875"/>
      <c r="K204" s="1875"/>
      <c r="L204" s="1894"/>
      <c r="M204" s="1875"/>
      <c r="N204" s="1795"/>
      <c r="O204" s="1875"/>
      <c r="P204" s="1884"/>
      <c r="Q204" s="1899"/>
      <c r="R204" s="1795"/>
      <c r="S204" s="1795"/>
      <c r="T204" s="1119"/>
      <c r="U204" s="1120"/>
    </row>
    <row r="205" spans="1:21" ht="8.25" customHeight="1" thickBot="1">
      <c r="A205" s="1141"/>
      <c r="B205" s="1137"/>
      <c r="C205" s="1137"/>
      <c r="D205" s="1137"/>
      <c r="E205" s="1137"/>
      <c r="F205" s="1137"/>
      <c r="G205" s="1137"/>
      <c r="H205" s="1137"/>
      <c r="I205" s="1138"/>
      <c r="J205" s="1139"/>
      <c r="K205" s="1139"/>
      <c r="L205" s="1143"/>
      <c r="M205" s="1140"/>
      <c r="N205" s="1136"/>
      <c r="O205" s="1139"/>
      <c r="P205" s="1136"/>
      <c r="Q205" s="1229"/>
      <c r="R205" s="1136"/>
      <c r="S205" s="1136"/>
      <c r="T205" s="1135"/>
      <c r="U205" s="194"/>
    </row>
    <row r="206" spans="1:21" ht="13.5" hidden="1" thickBot="1">
      <c r="A206" s="1141"/>
      <c r="B206" s="1137"/>
      <c r="C206" s="1137"/>
      <c r="D206" s="1137"/>
      <c r="E206" s="1137"/>
      <c r="F206" s="1137"/>
      <c r="G206" s="1137"/>
      <c r="H206" s="1137"/>
      <c r="I206" s="1138"/>
      <c r="J206" s="1139"/>
      <c r="K206" s="1139"/>
      <c r="L206" s="1143"/>
      <c r="M206" s="1140"/>
      <c r="N206" s="1136"/>
      <c r="O206" s="1139"/>
      <c r="P206" s="1136"/>
      <c r="Q206" s="1229"/>
      <c r="R206" s="1136"/>
      <c r="S206" s="1136"/>
      <c r="T206" s="1135"/>
      <c r="U206" s="194"/>
    </row>
    <row r="207" spans="1:21" ht="13.5" thickTop="1">
      <c r="A207" s="1867">
        <v>17</v>
      </c>
      <c r="B207" s="1864" t="s">
        <v>101</v>
      </c>
      <c r="C207" s="1865"/>
      <c r="D207" s="1865"/>
      <c r="E207" s="1865"/>
      <c r="F207" s="1871"/>
      <c r="G207" s="1871"/>
      <c r="H207" s="1871"/>
      <c r="I207" s="1871"/>
      <c r="J207" s="1822">
        <v>2013</v>
      </c>
      <c r="K207" s="1822">
        <v>2014</v>
      </c>
      <c r="L207" s="1818">
        <v>500000</v>
      </c>
      <c r="M207" s="1820" t="s">
        <v>120</v>
      </c>
      <c r="N207" s="1782">
        <f>IF(SUM(N211:N218)=T207,SUM(N211:N218),"wielbłąd")</f>
        <v>500000</v>
      </c>
      <c r="O207" s="1780" t="s">
        <v>112</v>
      </c>
      <c r="P207" s="1782">
        <f t="shared" ref="P207" si="21">SUM(P211:P218)</f>
        <v>0</v>
      </c>
      <c r="Q207" s="1802">
        <f t="shared" ref="Q207:S207" si="22">SUM(Q211:Q218)</f>
        <v>500000</v>
      </c>
      <c r="R207" s="1782">
        <f t="shared" si="22"/>
        <v>0</v>
      </c>
      <c r="S207" s="1782">
        <f t="shared" si="22"/>
        <v>0</v>
      </c>
      <c r="T207" s="1774">
        <f>SUM(U211:U218)</f>
        <v>500000</v>
      </c>
      <c r="U207" s="1791"/>
    </row>
    <row r="208" spans="1:21" ht="4.5" customHeight="1">
      <c r="A208" s="1868"/>
      <c r="B208" s="1866"/>
      <c r="C208" s="1851"/>
      <c r="D208" s="1851"/>
      <c r="E208" s="1851"/>
      <c r="F208" s="1846"/>
      <c r="G208" s="1846"/>
      <c r="H208" s="1846"/>
      <c r="I208" s="1846"/>
      <c r="J208" s="1823"/>
      <c r="K208" s="1823"/>
      <c r="L208" s="1819"/>
      <c r="M208" s="1821"/>
      <c r="N208" s="1783"/>
      <c r="O208" s="1781"/>
      <c r="P208" s="1783"/>
      <c r="Q208" s="1803"/>
      <c r="R208" s="1783"/>
      <c r="S208" s="1783"/>
      <c r="T208" s="1776"/>
      <c r="U208" s="1792"/>
    </row>
    <row r="209" spans="1:21" ht="9" customHeight="1">
      <c r="A209" s="1868"/>
      <c r="B209" s="1876" t="s">
        <v>107</v>
      </c>
      <c r="C209" s="1781"/>
      <c r="D209" s="1781"/>
      <c r="E209" s="1781"/>
      <c r="F209" s="1846"/>
      <c r="G209" s="1846"/>
      <c r="H209" s="1846"/>
      <c r="I209" s="1846"/>
      <c r="J209" s="1823"/>
      <c r="K209" s="1823"/>
      <c r="L209" s="1819"/>
      <c r="M209" s="1821"/>
      <c r="N209" s="1783"/>
      <c r="O209" s="1781"/>
      <c r="P209" s="1783"/>
      <c r="Q209" s="1803"/>
      <c r="R209" s="1783"/>
      <c r="S209" s="1783"/>
      <c r="T209" s="1776"/>
      <c r="U209" s="1792"/>
    </row>
    <row r="210" spans="1:21" ht="7.5" customHeight="1">
      <c r="A210" s="1868"/>
      <c r="B210" s="1877"/>
      <c r="C210" s="1832"/>
      <c r="D210" s="1832"/>
      <c r="E210" s="1832"/>
      <c r="F210" s="1847"/>
      <c r="G210" s="1847"/>
      <c r="H210" s="1847"/>
      <c r="I210" s="1847"/>
      <c r="J210" s="1823"/>
      <c r="K210" s="1823"/>
      <c r="L210" s="1819"/>
      <c r="M210" s="1821"/>
      <c r="N210" s="1783"/>
      <c r="O210" s="1781"/>
      <c r="P210" s="1783"/>
      <c r="Q210" s="1803"/>
      <c r="R210" s="1783"/>
      <c r="S210" s="1783"/>
      <c r="T210" s="1778"/>
      <c r="U210" s="1793"/>
    </row>
    <row r="211" spans="1:21">
      <c r="A211" s="1869"/>
      <c r="B211" s="1834" t="s">
        <v>449</v>
      </c>
      <c r="C211" s="1835"/>
      <c r="D211" s="1835"/>
      <c r="E211" s="1835"/>
      <c r="F211" s="1835"/>
      <c r="G211" s="1835"/>
      <c r="H211" s="1835"/>
      <c r="I211" s="1836"/>
      <c r="J211" s="1872"/>
      <c r="K211" s="1823"/>
      <c r="L211" s="1819"/>
      <c r="M211" s="1781" t="s">
        <v>360</v>
      </c>
      <c r="N211" s="1787">
        <f>SUM(P211:S214)</f>
        <v>150000</v>
      </c>
      <c r="O211" s="1781" t="s">
        <v>112</v>
      </c>
      <c r="P211" s="1784">
        <v>0</v>
      </c>
      <c r="Q211" s="1799">
        <v>150000</v>
      </c>
      <c r="R211" s="1787">
        <v>0</v>
      </c>
      <c r="S211" s="1787">
        <v>0</v>
      </c>
      <c r="T211" s="1770">
        <f>$P$6</f>
        <v>2013</v>
      </c>
      <c r="U211" s="1915">
        <f>P207</f>
        <v>0</v>
      </c>
    </row>
    <row r="212" spans="1:21">
      <c r="A212" s="1869"/>
      <c r="B212" s="1837"/>
      <c r="C212" s="1838"/>
      <c r="D212" s="1838"/>
      <c r="E212" s="1838"/>
      <c r="F212" s="1838"/>
      <c r="G212" s="1838"/>
      <c r="H212" s="1838"/>
      <c r="I212" s="1839"/>
      <c r="J212" s="1872"/>
      <c r="K212" s="1823"/>
      <c r="L212" s="1819"/>
      <c r="M212" s="1781"/>
      <c r="N212" s="1787"/>
      <c r="O212" s="1781"/>
      <c r="P212" s="1785"/>
      <c r="Q212" s="1800"/>
      <c r="R212" s="1787"/>
      <c r="S212" s="1787"/>
      <c r="T212" s="1771"/>
      <c r="U212" s="1789"/>
    </row>
    <row r="213" spans="1:21" ht="3" customHeight="1">
      <c r="A213" s="1869"/>
      <c r="B213" s="1837"/>
      <c r="C213" s="1838"/>
      <c r="D213" s="1838"/>
      <c r="E213" s="1838"/>
      <c r="F213" s="1838"/>
      <c r="G213" s="1838"/>
      <c r="H213" s="1838"/>
      <c r="I213" s="1839"/>
      <c r="J213" s="1872"/>
      <c r="K213" s="1823"/>
      <c r="L213" s="1783">
        <v>0</v>
      </c>
      <c r="M213" s="1781"/>
      <c r="N213" s="1787"/>
      <c r="O213" s="1781"/>
      <c r="P213" s="1785"/>
      <c r="Q213" s="1800"/>
      <c r="R213" s="1787"/>
      <c r="S213" s="1787"/>
      <c r="T213" s="1768">
        <f>$Q$6</f>
        <v>2014</v>
      </c>
      <c r="U213" s="1789">
        <f>Q207</f>
        <v>500000</v>
      </c>
    </row>
    <row r="214" spans="1:21">
      <c r="A214" s="1869"/>
      <c r="B214" s="1840"/>
      <c r="C214" s="1841"/>
      <c r="D214" s="1841"/>
      <c r="E214" s="1841"/>
      <c r="F214" s="1841"/>
      <c r="G214" s="1841"/>
      <c r="H214" s="1841"/>
      <c r="I214" s="1842"/>
      <c r="J214" s="1872"/>
      <c r="K214" s="1823"/>
      <c r="L214" s="1783"/>
      <c r="M214" s="1781"/>
      <c r="N214" s="1784"/>
      <c r="O214" s="1781"/>
      <c r="P214" s="1786"/>
      <c r="Q214" s="1817"/>
      <c r="R214" s="1787"/>
      <c r="S214" s="1787"/>
      <c r="T214" s="1768"/>
      <c r="U214" s="1789"/>
    </row>
    <row r="215" spans="1:21">
      <c r="A215" s="1869"/>
      <c r="B215" s="1852" t="s">
        <v>529</v>
      </c>
      <c r="C215" s="1853"/>
      <c r="D215" s="1853"/>
      <c r="E215" s="1853"/>
      <c r="F215" s="1853"/>
      <c r="G215" s="1853"/>
      <c r="H215" s="1853"/>
      <c r="I215" s="1854"/>
      <c r="J215" s="1823"/>
      <c r="K215" s="1823"/>
      <c r="L215" s="1783"/>
      <c r="M215" s="1832" t="s">
        <v>123</v>
      </c>
      <c r="N215" s="1787">
        <f>SUM(P215:S218)</f>
        <v>350000</v>
      </c>
      <c r="O215" s="1781" t="s">
        <v>112</v>
      </c>
      <c r="P215" s="1784">
        <v>0</v>
      </c>
      <c r="Q215" s="1799">
        <v>350000</v>
      </c>
      <c r="R215" s="1787">
        <v>0</v>
      </c>
      <c r="S215" s="1787">
        <v>0</v>
      </c>
      <c r="T215" s="1768"/>
      <c r="U215" s="1789"/>
    </row>
    <row r="216" spans="1:21" ht="3" customHeight="1">
      <c r="A216" s="1869"/>
      <c r="B216" s="1852"/>
      <c r="C216" s="1853"/>
      <c r="D216" s="1853"/>
      <c r="E216" s="1853"/>
      <c r="F216" s="1853"/>
      <c r="G216" s="1853"/>
      <c r="H216" s="1853"/>
      <c r="I216" s="1854"/>
      <c r="J216" s="1823"/>
      <c r="K216" s="1823"/>
      <c r="L216" s="1783"/>
      <c r="M216" s="1823"/>
      <c r="N216" s="1787"/>
      <c r="O216" s="1781"/>
      <c r="P216" s="1785"/>
      <c r="Q216" s="1800"/>
      <c r="R216" s="1787"/>
      <c r="S216" s="1787"/>
      <c r="T216" s="1768"/>
      <c r="U216" s="1789"/>
    </row>
    <row r="217" spans="1:21">
      <c r="A217" s="1869"/>
      <c r="B217" s="1852"/>
      <c r="C217" s="1853"/>
      <c r="D217" s="1853"/>
      <c r="E217" s="1853"/>
      <c r="F217" s="1853"/>
      <c r="G217" s="1853"/>
      <c r="H217" s="1853"/>
      <c r="I217" s="1854"/>
      <c r="J217" s="1823"/>
      <c r="K217" s="1823"/>
      <c r="L217" s="1783"/>
      <c r="M217" s="1823"/>
      <c r="N217" s="1787"/>
      <c r="O217" s="1781"/>
      <c r="P217" s="1785"/>
      <c r="Q217" s="1800"/>
      <c r="R217" s="1787"/>
      <c r="S217" s="1787"/>
      <c r="T217" s="1768"/>
      <c r="U217" s="1789"/>
    </row>
    <row r="218" spans="1:21" ht="18" customHeight="1" thickBot="1">
      <c r="A218" s="1870"/>
      <c r="B218" s="1855"/>
      <c r="C218" s="1856"/>
      <c r="D218" s="1856"/>
      <c r="E218" s="1856"/>
      <c r="F218" s="1856"/>
      <c r="G218" s="1856"/>
      <c r="H218" s="1856"/>
      <c r="I218" s="1857"/>
      <c r="J218" s="1824"/>
      <c r="K218" s="1824"/>
      <c r="L218" s="1858"/>
      <c r="M218" s="1824"/>
      <c r="N218" s="1788"/>
      <c r="O218" s="1896"/>
      <c r="P218" s="1798"/>
      <c r="Q218" s="1801"/>
      <c r="R218" s="1788"/>
      <c r="S218" s="1788"/>
      <c r="T218" s="1769"/>
      <c r="U218" s="1790"/>
    </row>
    <row r="219" spans="1:21" ht="13.5" customHeight="1" thickTop="1" thickBot="1">
      <c r="A219" s="828"/>
      <c r="B219" s="829"/>
      <c r="C219" s="829"/>
      <c r="D219" s="829"/>
      <c r="E219" s="829"/>
      <c r="F219" s="829"/>
      <c r="G219" s="829"/>
      <c r="H219" s="829"/>
      <c r="I219" s="829"/>
      <c r="J219" s="65"/>
      <c r="K219" s="65"/>
      <c r="L219" s="64"/>
      <c r="M219" s="65"/>
      <c r="N219" s="193"/>
      <c r="O219" s="65"/>
      <c r="P219" s="193"/>
      <c r="Q219" s="1228"/>
      <c r="R219" s="193"/>
      <c r="S219" s="193"/>
      <c r="T219" s="196"/>
      <c r="U219" s="194"/>
    </row>
    <row r="220" spans="1:21" ht="18" customHeight="1">
      <c r="A220" s="2022">
        <v>18</v>
      </c>
      <c r="B220" s="2023" t="s">
        <v>101</v>
      </c>
      <c r="C220" s="1849"/>
      <c r="D220" s="1849">
        <v>921</v>
      </c>
      <c r="E220" s="1849"/>
      <c r="F220" s="1873" t="s">
        <v>119</v>
      </c>
      <c r="G220" s="1873"/>
      <c r="H220" s="1873"/>
      <c r="I220" s="1873"/>
      <c r="J220" s="2024">
        <v>2013</v>
      </c>
      <c r="K220" s="2024">
        <v>2014</v>
      </c>
      <c r="L220" s="2025">
        <v>4365898</v>
      </c>
      <c r="M220" s="1897" t="s">
        <v>120</v>
      </c>
      <c r="N220" s="1794">
        <f>IF(SUM(N224:N231)=T220,SUM(N224:N231),"wielbłąd")</f>
        <v>4365898</v>
      </c>
      <c r="O220" s="1874" t="s">
        <v>112</v>
      </c>
      <c r="P220" s="1794">
        <f t="shared" ref="P220" si="23">SUM(P224:P231)</f>
        <v>0</v>
      </c>
      <c r="Q220" s="1901">
        <f t="shared" ref="Q220:S220" si="24">SUM(Q224:Q231)</f>
        <v>4365898</v>
      </c>
      <c r="R220" s="1794">
        <f t="shared" si="24"/>
        <v>0</v>
      </c>
      <c r="S220" s="1794">
        <f t="shared" si="24"/>
        <v>0</v>
      </c>
      <c r="T220" s="1861">
        <f>SUM(U224:U231)</f>
        <v>4365898</v>
      </c>
      <c r="U220" s="1862"/>
    </row>
    <row r="221" spans="1:21" ht="11.25" customHeight="1">
      <c r="A221" s="1826"/>
      <c r="B221" s="1866"/>
      <c r="C221" s="1851"/>
      <c r="D221" s="1851"/>
      <c r="E221" s="1851"/>
      <c r="F221" s="1846"/>
      <c r="G221" s="1846"/>
      <c r="H221" s="1846"/>
      <c r="I221" s="1846"/>
      <c r="J221" s="1823"/>
      <c r="K221" s="1823"/>
      <c r="L221" s="1819"/>
      <c r="M221" s="1821"/>
      <c r="N221" s="1783"/>
      <c r="O221" s="1781"/>
      <c r="P221" s="1783"/>
      <c r="Q221" s="1803"/>
      <c r="R221" s="1783"/>
      <c r="S221" s="1783"/>
      <c r="T221" s="1776"/>
      <c r="U221" s="1777"/>
    </row>
    <row r="222" spans="1:21" ht="8.25" customHeight="1">
      <c r="A222" s="1826"/>
      <c r="B222" s="1876" t="s">
        <v>107</v>
      </c>
      <c r="C222" s="1781"/>
      <c r="D222" s="1781">
        <v>92118</v>
      </c>
      <c r="E222" s="1781"/>
      <c r="F222" s="1846" t="s">
        <v>121</v>
      </c>
      <c r="G222" s="1846"/>
      <c r="H222" s="1846"/>
      <c r="I222" s="1846"/>
      <c r="J222" s="1823"/>
      <c r="K222" s="1823"/>
      <c r="L222" s="1819"/>
      <c r="M222" s="1821"/>
      <c r="N222" s="1783"/>
      <c r="O222" s="1781"/>
      <c r="P222" s="1783"/>
      <c r="Q222" s="1803"/>
      <c r="R222" s="1783"/>
      <c r="S222" s="1783"/>
      <c r="T222" s="1776"/>
      <c r="U222" s="1777"/>
    </row>
    <row r="223" spans="1:21" ht="12" customHeight="1">
      <c r="A223" s="1826"/>
      <c r="B223" s="1877"/>
      <c r="C223" s="1832"/>
      <c r="D223" s="1832"/>
      <c r="E223" s="1832"/>
      <c r="F223" s="1847"/>
      <c r="G223" s="1847"/>
      <c r="H223" s="1847"/>
      <c r="I223" s="1847"/>
      <c r="J223" s="1823"/>
      <c r="K223" s="1823"/>
      <c r="L223" s="1819"/>
      <c r="M223" s="1821"/>
      <c r="N223" s="1783"/>
      <c r="O223" s="1781"/>
      <c r="P223" s="1783"/>
      <c r="Q223" s="1803"/>
      <c r="R223" s="1783"/>
      <c r="S223" s="1783"/>
      <c r="T223" s="1778"/>
      <c r="U223" s="1779"/>
    </row>
    <row r="224" spans="1:21" ht="18" customHeight="1">
      <c r="A224" s="1827"/>
      <c r="B224" s="1834" t="s">
        <v>450</v>
      </c>
      <c r="C224" s="1835"/>
      <c r="D224" s="1835"/>
      <c r="E224" s="1835"/>
      <c r="F224" s="1835"/>
      <c r="G224" s="1835"/>
      <c r="H224" s="1835"/>
      <c r="I224" s="1836"/>
      <c r="J224" s="1872"/>
      <c r="K224" s="1823"/>
      <c r="L224" s="1819"/>
      <c r="M224" s="1781" t="s">
        <v>452</v>
      </c>
      <c r="N224" s="1787">
        <f>SUM(P224:S227)</f>
        <v>500000</v>
      </c>
      <c r="O224" s="1781" t="s">
        <v>112</v>
      </c>
      <c r="P224" s="1784">
        <v>0</v>
      </c>
      <c r="Q224" s="1799">
        <v>500000</v>
      </c>
      <c r="R224" s="1787">
        <v>0</v>
      </c>
      <c r="S224" s="1787">
        <v>0</v>
      </c>
      <c r="T224" s="1770">
        <f>$P$6</f>
        <v>2013</v>
      </c>
      <c r="U224" s="1772">
        <f>P220</f>
        <v>0</v>
      </c>
    </row>
    <row r="225" spans="1:21" ht="13.5" customHeight="1">
      <c r="A225" s="1827"/>
      <c r="B225" s="1837"/>
      <c r="C225" s="1838"/>
      <c r="D225" s="1838"/>
      <c r="E225" s="1838"/>
      <c r="F225" s="1838"/>
      <c r="G225" s="1838"/>
      <c r="H225" s="1838"/>
      <c r="I225" s="1839"/>
      <c r="J225" s="1872"/>
      <c r="K225" s="1823"/>
      <c r="L225" s="1819"/>
      <c r="M225" s="1781"/>
      <c r="N225" s="1787"/>
      <c r="O225" s="1781"/>
      <c r="P225" s="1785"/>
      <c r="Q225" s="1800"/>
      <c r="R225" s="1787"/>
      <c r="S225" s="1787"/>
      <c r="T225" s="1771"/>
      <c r="U225" s="1767"/>
    </row>
    <row r="226" spans="1:21" ht="12" customHeight="1">
      <c r="A226" s="1827"/>
      <c r="B226" s="1837"/>
      <c r="C226" s="1838"/>
      <c r="D226" s="1838"/>
      <c r="E226" s="1838"/>
      <c r="F226" s="1838"/>
      <c r="G226" s="1838"/>
      <c r="H226" s="1838"/>
      <c r="I226" s="1839"/>
      <c r="J226" s="1872"/>
      <c r="K226" s="1823"/>
      <c r="L226" s="1783">
        <v>0</v>
      </c>
      <c r="M226" s="1781"/>
      <c r="N226" s="1787"/>
      <c r="O226" s="1781"/>
      <c r="P226" s="1785"/>
      <c r="Q226" s="1800"/>
      <c r="R226" s="1787"/>
      <c r="S226" s="1787"/>
      <c r="T226" s="1768">
        <f>$Q$6</f>
        <v>2014</v>
      </c>
      <c r="U226" s="1767">
        <f>Q220</f>
        <v>4365898</v>
      </c>
    </row>
    <row r="227" spans="1:21">
      <c r="A227" s="1827"/>
      <c r="B227" s="1840"/>
      <c r="C227" s="1841"/>
      <c r="D227" s="1841"/>
      <c r="E227" s="1841"/>
      <c r="F227" s="1841"/>
      <c r="G227" s="1841"/>
      <c r="H227" s="1841"/>
      <c r="I227" s="1842"/>
      <c r="J227" s="1872"/>
      <c r="K227" s="1823"/>
      <c r="L227" s="1783"/>
      <c r="M227" s="1781"/>
      <c r="N227" s="1784"/>
      <c r="O227" s="1781"/>
      <c r="P227" s="1786"/>
      <c r="Q227" s="1817"/>
      <c r="R227" s="1787"/>
      <c r="S227" s="1787"/>
      <c r="T227" s="1768"/>
      <c r="U227" s="1767"/>
    </row>
    <row r="228" spans="1:21" ht="11.25" customHeight="1">
      <c r="A228" s="1827"/>
      <c r="B228" s="1852" t="s">
        <v>531</v>
      </c>
      <c r="C228" s="1853"/>
      <c r="D228" s="1853"/>
      <c r="E228" s="1853"/>
      <c r="F228" s="1853"/>
      <c r="G228" s="1853"/>
      <c r="H228" s="1853"/>
      <c r="I228" s="1854"/>
      <c r="J228" s="1823"/>
      <c r="K228" s="1823"/>
      <c r="L228" s="1783"/>
      <c r="M228" s="1832" t="s">
        <v>123</v>
      </c>
      <c r="N228" s="1787">
        <f>SUM(P228:S231)</f>
        <v>3865898</v>
      </c>
      <c r="O228" s="1781" t="s">
        <v>112</v>
      </c>
      <c r="P228" s="1784">
        <v>0</v>
      </c>
      <c r="Q228" s="1799">
        <f>3835898+30000</f>
        <v>3865898</v>
      </c>
      <c r="R228" s="1787">
        <v>0</v>
      </c>
      <c r="S228" s="1787">
        <v>0</v>
      </c>
      <c r="T228" s="1768"/>
      <c r="U228" s="1767"/>
    </row>
    <row r="229" spans="1:21" ht="18" customHeight="1">
      <c r="A229" s="1827"/>
      <c r="B229" s="1852"/>
      <c r="C229" s="1853"/>
      <c r="D229" s="1853"/>
      <c r="E229" s="1853"/>
      <c r="F229" s="1853"/>
      <c r="G229" s="1853"/>
      <c r="H229" s="1853"/>
      <c r="I229" s="1854"/>
      <c r="J229" s="1823"/>
      <c r="K229" s="1823"/>
      <c r="L229" s="1783"/>
      <c r="M229" s="1823"/>
      <c r="N229" s="1787"/>
      <c r="O229" s="1781"/>
      <c r="P229" s="1785"/>
      <c r="Q229" s="1800"/>
      <c r="R229" s="1787"/>
      <c r="S229" s="1787"/>
      <c r="T229" s="1768"/>
      <c r="U229" s="1767"/>
    </row>
    <row r="230" spans="1:21" ht="9.75" customHeight="1">
      <c r="A230" s="1827"/>
      <c r="B230" s="1852"/>
      <c r="C230" s="1853"/>
      <c r="D230" s="1853"/>
      <c r="E230" s="1853"/>
      <c r="F230" s="1853"/>
      <c r="G230" s="1853"/>
      <c r="H230" s="1853"/>
      <c r="I230" s="1854"/>
      <c r="J230" s="1823"/>
      <c r="K230" s="1823"/>
      <c r="L230" s="1783"/>
      <c r="M230" s="1823"/>
      <c r="N230" s="1787"/>
      <c r="O230" s="1781"/>
      <c r="P230" s="1785"/>
      <c r="Q230" s="1800"/>
      <c r="R230" s="1787"/>
      <c r="S230" s="1787"/>
      <c r="T230" s="1768"/>
      <c r="U230" s="1767"/>
    </row>
    <row r="231" spans="1:21" ht="13.5" thickBot="1">
      <c r="A231" s="1863"/>
      <c r="B231" s="1855"/>
      <c r="C231" s="1856"/>
      <c r="D231" s="1856"/>
      <c r="E231" s="1856"/>
      <c r="F231" s="1856"/>
      <c r="G231" s="1856"/>
      <c r="H231" s="1856"/>
      <c r="I231" s="1857"/>
      <c r="J231" s="1824"/>
      <c r="K231" s="1824"/>
      <c r="L231" s="1858"/>
      <c r="M231" s="1824"/>
      <c r="N231" s="1788"/>
      <c r="O231" s="1896"/>
      <c r="P231" s="1798"/>
      <c r="Q231" s="1801"/>
      <c r="R231" s="1788"/>
      <c r="S231" s="1788"/>
      <c r="T231" s="1769"/>
      <c r="U231" s="1773"/>
    </row>
    <row r="232" spans="1:21" ht="17.25" customHeight="1" thickTop="1" thickBot="1">
      <c r="A232" s="1232"/>
      <c r="B232" s="1215"/>
      <c r="C232" s="1215"/>
      <c r="D232" s="1215"/>
      <c r="E232" s="1215"/>
      <c r="F232" s="1215"/>
      <c r="G232" s="1215"/>
      <c r="H232" s="1215"/>
      <c r="I232" s="1215"/>
      <c r="J232" s="65"/>
      <c r="K232" s="65"/>
      <c r="L232" s="64"/>
      <c r="M232" s="65"/>
      <c r="N232" s="193"/>
      <c r="O232" s="65"/>
      <c r="P232" s="193"/>
      <c r="Q232" s="1228"/>
      <c r="R232" s="193"/>
      <c r="S232" s="193"/>
      <c r="T232" s="1219"/>
      <c r="U232" s="1220"/>
    </row>
    <row r="233" spans="1:21" ht="13.5" customHeight="1" thickTop="1">
      <c r="A233" s="1825">
        <v>19</v>
      </c>
      <c r="B233" s="1864" t="s">
        <v>101</v>
      </c>
      <c r="C233" s="1865"/>
      <c r="D233" s="1865">
        <v>750</v>
      </c>
      <c r="E233" s="1865"/>
      <c r="F233" s="1871" t="s">
        <v>488</v>
      </c>
      <c r="G233" s="1871"/>
      <c r="H233" s="1871"/>
      <c r="I233" s="1871"/>
      <c r="J233" s="1822">
        <v>2013</v>
      </c>
      <c r="K233" s="1822">
        <v>2015</v>
      </c>
      <c r="L233" s="1818">
        <v>250000</v>
      </c>
      <c r="M233" s="1820" t="s">
        <v>120</v>
      </c>
      <c r="N233" s="1782">
        <f>IF(SUM(N237:N244)=T233,SUM(N237:N244),"wielbłąd")</f>
        <v>250000</v>
      </c>
      <c r="O233" s="1780" t="s">
        <v>112</v>
      </c>
      <c r="P233" s="1782">
        <f t="shared" ref="P233" si="25">SUM(P237:P244)</f>
        <v>0</v>
      </c>
      <c r="Q233" s="1802">
        <f t="shared" ref="Q233:S233" si="26">SUM(Q237:Q244)</f>
        <v>50000</v>
      </c>
      <c r="R233" s="1782">
        <f t="shared" si="26"/>
        <v>200000</v>
      </c>
      <c r="S233" s="1782">
        <f t="shared" si="26"/>
        <v>0</v>
      </c>
      <c r="T233" s="1774">
        <f>SUM(U237:U244)</f>
        <v>250000</v>
      </c>
      <c r="U233" s="1775"/>
    </row>
    <row r="234" spans="1:21" ht="18" customHeight="1">
      <c r="A234" s="1826"/>
      <c r="B234" s="1866"/>
      <c r="C234" s="1851"/>
      <c r="D234" s="1851"/>
      <c r="E234" s="1851"/>
      <c r="F234" s="1846"/>
      <c r="G234" s="1846"/>
      <c r="H234" s="1846"/>
      <c r="I234" s="1846"/>
      <c r="J234" s="1823"/>
      <c r="K234" s="1823"/>
      <c r="L234" s="1819"/>
      <c r="M234" s="1821"/>
      <c r="N234" s="1783"/>
      <c r="O234" s="1781"/>
      <c r="P234" s="1783"/>
      <c r="Q234" s="1803"/>
      <c r="R234" s="1783"/>
      <c r="S234" s="1783"/>
      <c r="T234" s="1776"/>
      <c r="U234" s="1777"/>
    </row>
    <row r="235" spans="1:21" ht="8.25" customHeight="1">
      <c r="A235" s="1826"/>
      <c r="B235" s="1876" t="s">
        <v>107</v>
      </c>
      <c r="C235" s="1781"/>
      <c r="D235" s="1781">
        <v>75075</v>
      </c>
      <c r="E235" s="1781"/>
      <c r="F235" s="1846" t="s">
        <v>489</v>
      </c>
      <c r="G235" s="1846"/>
      <c r="H235" s="1846"/>
      <c r="I235" s="1846"/>
      <c r="J235" s="1823"/>
      <c r="K235" s="1823"/>
      <c r="L235" s="1819"/>
      <c r="M235" s="1821"/>
      <c r="N235" s="1783"/>
      <c r="O235" s="1781"/>
      <c r="P235" s="1783"/>
      <c r="Q235" s="1803"/>
      <c r="R235" s="1783"/>
      <c r="S235" s="1783"/>
      <c r="T235" s="1776"/>
      <c r="U235" s="1777"/>
    </row>
    <row r="236" spans="1:21" ht="18" customHeight="1">
      <c r="A236" s="1826"/>
      <c r="B236" s="1877"/>
      <c r="C236" s="1832"/>
      <c r="D236" s="1832"/>
      <c r="E236" s="1832"/>
      <c r="F236" s="1847"/>
      <c r="G236" s="1847"/>
      <c r="H236" s="1847"/>
      <c r="I236" s="1847"/>
      <c r="J236" s="1823"/>
      <c r="K236" s="1823"/>
      <c r="L236" s="1819"/>
      <c r="M236" s="1821"/>
      <c r="N236" s="1783"/>
      <c r="O236" s="1781"/>
      <c r="P236" s="1783"/>
      <c r="Q236" s="1803"/>
      <c r="R236" s="1783"/>
      <c r="S236" s="1783"/>
      <c r="T236" s="1778"/>
      <c r="U236" s="1779"/>
    </row>
    <row r="237" spans="1:21" ht="18" customHeight="1">
      <c r="A237" s="1827"/>
      <c r="B237" s="1834" t="s">
        <v>490</v>
      </c>
      <c r="C237" s="1835"/>
      <c r="D237" s="1835"/>
      <c r="E237" s="1835"/>
      <c r="F237" s="1835"/>
      <c r="G237" s="1835"/>
      <c r="H237" s="1835"/>
      <c r="I237" s="1836"/>
      <c r="J237" s="1872"/>
      <c r="K237" s="1823"/>
      <c r="L237" s="1819"/>
      <c r="M237" s="1781" t="s">
        <v>452</v>
      </c>
      <c r="N237" s="1787">
        <f>SUM(P237:S240)</f>
        <v>225000</v>
      </c>
      <c r="O237" s="1781" t="s">
        <v>112</v>
      </c>
      <c r="P237" s="1784">
        <v>0</v>
      </c>
      <c r="Q237" s="1799">
        <v>45000</v>
      </c>
      <c r="R237" s="1787">
        <v>180000</v>
      </c>
      <c r="S237" s="1787">
        <v>0</v>
      </c>
      <c r="T237" s="1770">
        <f>$P$6</f>
        <v>2013</v>
      </c>
      <c r="U237" s="1772">
        <f>P233</f>
        <v>0</v>
      </c>
    </row>
    <row r="238" spans="1:21" ht="11.25" customHeight="1">
      <c r="A238" s="1827"/>
      <c r="B238" s="1837"/>
      <c r="C238" s="1838"/>
      <c r="D238" s="1838"/>
      <c r="E238" s="1838"/>
      <c r="F238" s="1838"/>
      <c r="G238" s="1838"/>
      <c r="H238" s="1838"/>
      <c r="I238" s="1839"/>
      <c r="J238" s="1872"/>
      <c r="K238" s="1823"/>
      <c r="L238" s="1819"/>
      <c r="M238" s="1781"/>
      <c r="N238" s="1787"/>
      <c r="O238" s="1781"/>
      <c r="P238" s="1785"/>
      <c r="Q238" s="1800"/>
      <c r="R238" s="1787"/>
      <c r="S238" s="1787"/>
      <c r="T238" s="1771"/>
      <c r="U238" s="1767"/>
    </row>
    <row r="239" spans="1:21" ht="12.75" customHeight="1">
      <c r="A239" s="1827"/>
      <c r="B239" s="1837"/>
      <c r="C239" s="1838"/>
      <c r="D239" s="1838"/>
      <c r="E239" s="1838"/>
      <c r="F239" s="1838"/>
      <c r="G239" s="1838"/>
      <c r="H239" s="1838"/>
      <c r="I239" s="1839"/>
      <c r="J239" s="1872"/>
      <c r="K239" s="1823"/>
      <c r="L239" s="1783">
        <v>0</v>
      </c>
      <c r="M239" s="1781"/>
      <c r="N239" s="1787"/>
      <c r="O239" s="1781"/>
      <c r="P239" s="1785"/>
      <c r="Q239" s="1800"/>
      <c r="R239" s="1787"/>
      <c r="S239" s="1787"/>
      <c r="T239" s="1768">
        <f>$Q$6</f>
        <v>2014</v>
      </c>
      <c r="U239" s="1767">
        <f>Q233</f>
        <v>50000</v>
      </c>
    </row>
    <row r="240" spans="1:21" ht="18" customHeight="1">
      <c r="A240" s="1827"/>
      <c r="B240" s="1840"/>
      <c r="C240" s="1841"/>
      <c r="D240" s="1841"/>
      <c r="E240" s="1841"/>
      <c r="F240" s="1841"/>
      <c r="G240" s="1841"/>
      <c r="H240" s="1841"/>
      <c r="I240" s="1842"/>
      <c r="J240" s="1872"/>
      <c r="K240" s="1823"/>
      <c r="L240" s="1783"/>
      <c r="M240" s="1781"/>
      <c r="N240" s="1784"/>
      <c r="O240" s="1781"/>
      <c r="P240" s="1786"/>
      <c r="Q240" s="1817"/>
      <c r="R240" s="1787"/>
      <c r="S240" s="1787"/>
      <c r="T240" s="1768"/>
      <c r="U240" s="1767"/>
    </row>
    <row r="241" spans="1:21" ht="9.75" customHeight="1">
      <c r="A241" s="1827"/>
      <c r="B241" s="1852" t="s">
        <v>532</v>
      </c>
      <c r="C241" s="1853"/>
      <c r="D241" s="1853"/>
      <c r="E241" s="1853"/>
      <c r="F241" s="1853"/>
      <c r="G241" s="1853"/>
      <c r="H241" s="1853"/>
      <c r="I241" s="1854"/>
      <c r="J241" s="1823"/>
      <c r="K241" s="1823"/>
      <c r="L241" s="1783"/>
      <c r="M241" s="1832" t="s">
        <v>123</v>
      </c>
      <c r="N241" s="1787">
        <f>SUM(P241:S244)</f>
        <v>25000</v>
      </c>
      <c r="O241" s="1781" t="s">
        <v>112</v>
      </c>
      <c r="P241" s="1784">
        <v>0</v>
      </c>
      <c r="Q241" s="1799">
        <v>5000</v>
      </c>
      <c r="R241" s="1787">
        <v>20000</v>
      </c>
      <c r="S241" s="1787">
        <v>0</v>
      </c>
      <c r="T241" s="1768">
        <v>2015</v>
      </c>
      <c r="U241" s="1767">
        <f>R233</f>
        <v>200000</v>
      </c>
    </row>
    <row r="242" spans="1:21" ht="13.5" customHeight="1">
      <c r="A242" s="1827"/>
      <c r="B242" s="1852"/>
      <c r="C242" s="1853"/>
      <c r="D242" s="1853"/>
      <c r="E242" s="1853"/>
      <c r="F242" s="1853"/>
      <c r="G242" s="1853"/>
      <c r="H242" s="1853"/>
      <c r="I242" s="1854"/>
      <c r="J242" s="1823"/>
      <c r="K242" s="1823"/>
      <c r="L242" s="1783"/>
      <c r="M242" s="1823"/>
      <c r="N242" s="1787"/>
      <c r="O242" s="1781"/>
      <c r="P242" s="1785"/>
      <c r="Q242" s="1800"/>
      <c r="R242" s="1787"/>
      <c r="S242" s="1787"/>
      <c r="T242" s="1768"/>
      <c r="U242" s="1767"/>
    </row>
    <row r="243" spans="1:21" ht="11.25" customHeight="1">
      <c r="A243" s="1827"/>
      <c r="B243" s="1852"/>
      <c r="C243" s="1853"/>
      <c r="D243" s="1853"/>
      <c r="E243" s="1853"/>
      <c r="F243" s="1853"/>
      <c r="G243" s="1853"/>
      <c r="H243" s="1853"/>
      <c r="I243" s="1854"/>
      <c r="J243" s="1823"/>
      <c r="K243" s="1823"/>
      <c r="L243" s="1783"/>
      <c r="M243" s="1823"/>
      <c r="N243" s="1787"/>
      <c r="O243" s="1781"/>
      <c r="P243" s="1785"/>
      <c r="Q243" s="1800"/>
      <c r="R243" s="1787"/>
      <c r="S243" s="1787"/>
      <c r="T243" s="1768"/>
      <c r="U243" s="1767"/>
    </row>
    <row r="244" spans="1:21" ht="18" customHeight="1" thickBot="1">
      <c r="A244" s="1863"/>
      <c r="B244" s="1855"/>
      <c r="C244" s="1856"/>
      <c r="D244" s="1856"/>
      <c r="E244" s="1856"/>
      <c r="F244" s="1856"/>
      <c r="G244" s="1856"/>
      <c r="H244" s="1856"/>
      <c r="I244" s="1857"/>
      <c r="J244" s="1824"/>
      <c r="K244" s="1824"/>
      <c r="L244" s="1858"/>
      <c r="M244" s="1824"/>
      <c r="N244" s="1788"/>
      <c r="O244" s="1896"/>
      <c r="P244" s="1798"/>
      <c r="Q244" s="1801"/>
      <c r="R244" s="1788"/>
      <c r="S244" s="1788"/>
      <c r="T244" s="1769"/>
      <c r="U244" s="1773"/>
    </row>
    <row r="245" spans="1:21" ht="28.5" customHeight="1" thickTop="1" thickBot="1">
      <c r="A245" s="1232"/>
      <c r="B245" s="1215"/>
      <c r="C245" s="1215"/>
      <c r="D245" s="1215"/>
      <c r="E245" s="1215"/>
      <c r="F245" s="1215"/>
      <c r="G245" s="1215"/>
      <c r="H245" s="1215"/>
      <c r="I245" s="1215"/>
      <c r="J245" s="65"/>
      <c r="K245" s="65"/>
      <c r="L245" s="64"/>
      <c r="M245" s="65"/>
      <c r="N245" s="193"/>
      <c r="O245" s="65"/>
      <c r="P245" s="193"/>
      <c r="Q245" s="1228"/>
      <c r="R245" s="193"/>
      <c r="S245" s="193"/>
      <c r="T245" s="1219"/>
      <c r="U245" s="1220"/>
    </row>
    <row r="246" spans="1:21" ht="11.25" customHeight="1" thickTop="1">
      <c r="A246" s="1825">
        <v>20</v>
      </c>
      <c r="B246" s="1864" t="s">
        <v>101</v>
      </c>
      <c r="C246" s="1865"/>
      <c r="D246" s="1865">
        <v>600</v>
      </c>
      <c r="E246" s="1865"/>
      <c r="F246" s="1871" t="s">
        <v>124</v>
      </c>
      <c r="G246" s="1871"/>
      <c r="H246" s="1871"/>
      <c r="I246" s="1871"/>
      <c r="J246" s="1822">
        <v>2013</v>
      </c>
      <c r="K246" s="1822">
        <v>2014</v>
      </c>
      <c r="L246" s="1818">
        <v>3868952</v>
      </c>
      <c r="M246" s="1820" t="s">
        <v>120</v>
      </c>
      <c r="N246" s="1782">
        <f>N254+N250</f>
        <v>3800000</v>
      </c>
      <c r="O246" s="1780" t="s">
        <v>112</v>
      </c>
      <c r="P246" s="1782">
        <f t="shared" ref="P246" si="27">SUM(P250:P257)</f>
        <v>0</v>
      </c>
      <c r="Q246" s="1802">
        <f t="shared" ref="Q246:S246" si="28">SUM(Q250:Q257)</f>
        <v>0</v>
      </c>
      <c r="R246" s="1782">
        <f t="shared" si="28"/>
        <v>3800000</v>
      </c>
      <c r="S246" s="1782">
        <f t="shared" si="28"/>
        <v>0</v>
      </c>
      <c r="T246" s="1774">
        <f>SUM(U250:U257)</f>
        <v>0</v>
      </c>
      <c r="U246" s="1775"/>
    </row>
    <row r="247" spans="1:21" ht="12" customHeight="1">
      <c r="A247" s="1826"/>
      <c r="B247" s="1866"/>
      <c r="C247" s="1851"/>
      <c r="D247" s="1851"/>
      <c r="E247" s="1851"/>
      <c r="F247" s="1846"/>
      <c r="G247" s="1846"/>
      <c r="H247" s="1846"/>
      <c r="I247" s="1846"/>
      <c r="J247" s="1823"/>
      <c r="K247" s="1823"/>
      <c r="L247" s="1819"/>
      <c r="M247" s="1821"/>
      <c r="N247" s="1783"/>
      <c r="O247" s="1781"/>
      <c r="P247" s="1783"/>
      <c r="Q247" s="1803"/>
      <c r="R247" s="1783"/>
      <c r="S247" s="1783"/>
      <c r="T247" s="1776"/>
      <c r="U247" s="1777"/>
    </row>
    <row r="248" spans="1:21" ht="9" customHeight="1">
      <c r="A248" s="1826"/>
      <c r="B248" s="1876" t="s">
        <v>107</v>
      </c>
      <c r="C248" s="1781"/>
      <c r="D248" s="1781">
        <v>60015</v>
      </c>
      <c r="E248" s="1781"/>
      <c r="F248" s="1846" t="s">
        <v>500</v>
      </c>
      <c r="G248" s="1846"/>
      <c r="H248" s="1846"/>
      <c r="I248" s="1846"/>
      <c r="J248" s="1823"/>
      <c r="K248" s="1823"/>
      <c r="L248" s="1819"/>
      <c r="M248" s="1821"/>
      <c r="N248" s="1783"/>
      <c r="O248" s="1781"/>
      <c r="P248" s="1783"/>
      <c r="Q248" s="1803"/>
      <c r="R248" s="1783"/>
      <c r="S248" s="1783"/>
      <c r="T248" s="1776"/>
      <c r="U248" s="1777"/>
    </row>
    <row r="249" spans="1:21" ht="18" customHeight="1">
      <c r="A249" s="1826"/>
      <c r="B249" s="1877"/>
      <c r="C249" s="1832"/>
      <c r="D249" s="1832"/>
      <c r="E249" s="1832"/>
      <c r="F249" s="1847"/>
      <c r="G249" s="1847"/>
      <c r="H249" s="1847"/>
      <c r="I249" s="1847"/>
      <c r="J249" s="1823"/>
      <c r="K249" s="1823"/>
      <c r="L249" s="1819"/>
      <c r="M249" s="1821"/>
      <c r="N249" s="1783"/>
      <c r="O249" s="1781"/>
      <c r="P249" s="1783"/>
      <c r="Q249" s="1803"/>
      <c r="R249" s="1783"/>
      <c r="S249" s="1783"/>
      <c r="T249" s="1778"/>
      <c r="U249" s="1779"/>
    </row>
    <row r="250" spans="1:21" ht="7.5" customHeight="1">
      <c r="A250" s="1827"/>
      <c r="B250" s="1834" t="s">
        <v>501</v>
      </c>
      <c r="C250" s="1835"/>
      <c r="D250" s="1835"/>
      <c r="E250" s="1835"/>
      <c r="F250" s="1835"/>
      <c r="G250" s="1835"/>
      <c r="H250" s="1835"/>
      <c r="I250" s="1836"/>
      <c r="J250" s="1872"/>
      <c r="K250" s="1823"/>
      <c r="L250" s="1819"/>
      <c r="M250" s="1781" t="s">
        <v>452</v>
      </c>
      <c r="N250" s="1787">
        <f>SUM(P250:S253)</f>
        <v>0</v>
      </c>
      <c r="O250" s="1781" t="s">
        <v>112</v>
      </c>
      <c r="P250" s="1784">
        <v>0</v>
      </c>
      <c r="Q250" s="1799">
        <v>0</v>
      </c>
      <c r="R250" s="1787">
        <v>0</v>
      </c>
      <c r="S250" s="1787">
        <v>0</v>
      </c>
      <c r="T250" s="1770">
        <f>$P$6</f>
        <v>2013</v>
      </c>
      <c r="U250" s="1772">
        <f>P246</f>
        <v>0</v>
      </c>
    </row>
    <row r="251" spans="1:21" ht="12" customHeight="1">
      <c r="A251" s="1827"/>
      <c r="B251" s="1837"/>
      <c r="C251" s="1838"/>
      <c r="D251" s="1838"/>
      <c r="E251" s="1838"/>
      <c r="F251" s="1838"/>
      <c r="G251" s="1838"/>
      <c r="H251" s="1838"/>
      <c r="I251" s="1839"/>
      <c r="J251" s="1872"/>
      <c r="K251" s="1823"/>
      <c r="L251" s="1819"/>
      <c r="M251" s="1781"/>
      <c r="N251" s="1787"/>
      <c r="O251" s="1781"/>
      <c r="P251" s="1785"/>
      <c r="Q251" s="1800"/>
      <c r="R251" s="1787"/>
      <c r="S251" s="1787"/>
      <c r="T251" s="1771"/>
      <c r="U251" s="1767"/>
    </row>
    <row r="252" spans="1:21" ht="11.25" customHeight="1">
      <c r="A252" s="1827"/>
      <c r="B252" s="1837"/>
      <c r="C252" s="1838"/>
      <c r="D252" s="1838"/>
      <c r="E252" s="1838"/>
      <c r="F252" s="1838"/>
      <c r="G252" s="1838"/>
      <c r="H252" s="1838"/>
      <c r="I252" s="1839"/>
      <c r="J252" s="1872"/>
      <c r="K252" s="1823"/>
      <c r="L252" s="1783">
        <v>0</v>
      </c>
      <c r="M252" s="1781"/>
      <c r="N252" s="1787"/>
      <c r="O252" s="1781"/>
      <c r="P252" s="1785"/>
      <c r="Q252" s="1800"/>
      <c r="R252" s="1787"/>
      <c r="S252" s="1787"/>
      <c r="T252" s="1768">
        <f>$Q$6</f>
        <v>2014</v>
      </c>
      <c r="U252" s="1767">
        <f>Q246</f>
        <v>0</v>
      </c>
    </row>
    <row r="253" spans="1:21" ht="18" customHeight="1">
      <c r="A253" s="1827"/>
      <c r="B253" s="1840"/>
      <c r="C253" s="1841"/>
      <c r="D253" s="1841"/>
      <c r="E253" s="1841"/>
      <c r="F253" s="1841"/>
      <c r="G253" s="1841"/>
      <c r="H253" s="1841"/>
      <c r="I253" s="1842"/>
      <c r="J253" s="1872"/>
      <c r="K253" s="1823"/>
      <c r="L253" s="1783"/>
      <c r="M253" s="1781"/>
      <c r="N253" s="1784"/>
      <c r="O253" s="1781"/>
      <c r="P253" s="1786"/>
      <c r="Q253" s="1817"/>
      <c r="R253" s="1787"/>
      <c r="S253" s="1787"/>
      <c r="T253" s="1768"/>
      <c r="U253" s="1767"/>
    </row>
    <row r="254" spans="1:21" ht="11.25" customHeight="1">
      <c r="A254" s="1827"/>
      <c r="B254" s="1852" t="s">
        <v>533</v>
      </c>
      <c r="C254" s="1853"/>
      <c r="D254" s="1853"/>
      <c r="E254" s="1853"/>
      <c r="F254" s="1853"/>
      <c r="G254" s="1853"/>
      <c r="H254" s="1853"/>
      <c r="I254" s="1854"/>
      <c r="J254" s="1823"/>
      <c r="K254" s="1823"/>
      <c r="L254" s="1783"/>
      <c r="M254" s="1832" t="s">
        <v>123</v>
      </c>
      <c r="N254" s="1787">
        <f>SUM(P254:S257)</f>
        <v>3800000</v>
      </c>
      <c r="O254" s="1781" t="s">
        <v>112</v>
      </c>
      <c r="P254" s="1784">
        <v>0</v>
      </c>
      <c r="Q254" s="1799">
        <v>0</v>
      </c>
      <c r="R254" s="1787">
        <v>3800000</v>
      </c>
      <c r="S254" s="1787">
        <v>0</v>
      </c>
      <c r="T254" s="1768"/>
      <c r="U254" s="1767"/>
    </row>
    <row r="255" spans="1:21" ht="7.5" customHeight="1">
      <c r="A255" s="1827"/>
      <c r="B255" s="1852"/>
      <c r="C255" s="1853"/>
      <c r="D255" s="1853"/>
      <c r="E255" s="1853"/>
      <c r="F255" s="1853"/>
      <c r="G255" s="1853"/>
      <c r="H255" s="1853"/>
      <c r="I255" s="1854"/>
      <c r="J255" s="1823"/>
      <c r="K255" s="1823"/>
      <c r="L255" s="1783"/>
      <c r="M255" s="1823"/>
      <c r="N255" s="1787"/>
      <c r="O255" s="1781"/>
      <c r="P255" s="1785"/>
      <c r="Q255" s="1800"/>
      <c r="R255" s="1787"/>
      <c r="S255" s="1787"/>
      <c r="T255" s="1768"/>
      <c r="U255" s="1767"/>
    </row>
    <row r="256" spans="1:21" ht="9.75" customHeight="1">
      <c r="A256" s="1827"/>
      <c r="B256" s="1852"/>
      <c r="C256" s="1853"/>
      <c r="D256" s="1853"/>
      <c r="E256" s="1853"/>
      <c r="F256" s="1853"/>
      <c r="G256" s="1853"/>
      <c r="H256" s="1853"/>
      <c r="I256" s="1854"/>
      <c r="J256" s="1823"/>
      <c r="K256" s="1823"/>
      <c r="L256" s="1783"/>
      <c r="M256" s="1823"/>
      <c r="N256" s="1787"/>
      <c r="O256" s="1781"/>
      <c r="P256" s="1785"/>
      <c r="Q256" s="1800"/>
      <c r="R256" s="1787"/>
      <c r="S256" s="1787"/>
      <c r="T256" s="1768"/>
      <c r="U256" s="1767"/>
    </row>
    <row r="257" spans="1:21" ht="18" customHeight="1" thickBot="1">
      <c r="A257" s="1863"/>
      <c r="B257" s="1855"/>
      <c r="C257" s="1856"/>
      <c r="D257" s="1856"/>
      <c r="E257" s="1856"/>
      <c r="F257" s="1856"/>
      <c r="G257" s="1856"/>
      <c r="H257" s="1856"/>
      <c r="I257" s="1857"/>
      <c r="J257" s="1824"/>
      <c r="K257" s="1824"/>
      <c r="L257" s="1858"/>
      <c r="M257" s="1824"/>
      <c r="N257" s="1788"/>
      <c r="O257" s="1896"/>
      <c r="P257" s="1798"/>
      <c r="Q257" s="1801"/>
      <c r="R257" s="1788"/>
      <c r="S257" s="1788"/>
      <c r="T257" s="1769"/>
      <c r="U257" s="1773"/>
    </row>
    <row r="258" spans="1:21" ht="13.5" customHeight="1" thickTop="1" thickBot="1">
      <c r="A258" s="1232"/>
      <c r="B258" s="1215"/>
      <c r="C258" s="1215"/>
      <c r="D258" s="1215"/>
      <c r="E258" s="1215"/>
      <c r="F258" s="1215"/>
      <c r="G258" s="1215"/>
      <c r="H258" s="1215"/>
      <c r="I258" s="1215"/>
      <c r="J258" s="65"/>
      <c r="K258" s="65"/>
      <c r="L258" s="64"/>
      <c r="M258" s="65"/>
      <c r="N258" s="193"/>
      <c r="O258" s="65"/>
      <c r="P258" s="193"/>
      <c r="Q258" s="1228"/>
      <c r="R258" s="193"/>
      <c r="S258" s="193"/>
      <c r="T258" s="1219"/>
      <c r="U258" s="1220"/>
    </row>
    <row r="259" spans="1:21" ht="11.25" customHeight="1" thickTop="1">
      <c r="A259" s="1825">
        <v>21</v>
      </c>
      <c r="B259" s="1864" t="s">
        <v>101</v>
      </c>
      <c r="C259" s="1865"/>
      <c r="D259" s="1865">
        <v>900</v>
      </c>
      <c r="E259" s="1865"/>
      <c r="F259" s="1871" t="s">
        <v>363</v>
      </c>
      <c r="G259" s="1871"/>
      <c r="H259" s="1871"/>
      <c r="I259" s="1871"/>
      <c r="J259" s="1822">
        <v>2013</v>
      </c>
      <c r="K259" s="1822">
        <v>2014</v>
      </c>
      <c r="L259" s="1818">
        <v>1160430</v>
      </c>
      <c r="M259" s="1820" t="s">
        <v>120</v>
      </c>
      <c r="N259" s="1782">
        <f>IF(SUM(N263:N270)=T259,SUM(N263:N270),"wielbłąd")</f>
        <v>1160430</v>
      </c>
      <c r="O259" s="1780" t="s">
        <v>112</v>
      </c>
      <c r="P259" s="1782">
        <f t="shared" ref="P259" si="29">SUM(P263:P270)</f>
        <v>160430</v>
      </c>
      <c r="Q259" s="1802">
        <f t="shared" ref="Q259:S259" si="30">SUM(Q263:Q270)</f>
        <v>1000000</v>
      </c>
      <c r="R259" s="1782">
        <f t="shared" si="30"/>
        <v>0</v>
      </c>
      <c r="S259" s="1782">
        <f t="shared" si="30"/>
        <v>0</v>
      </c>
      <c r="T259" s="1774">
        <f>SUM(U263:U270)</f>
        <v>1160430</v>
      </c>
      <c r="U259" s="1775"/>
    </row>
    <row r="260" spans="1:21" ht="12.75" customHeight="1">
      <c r="A260" s="1826"/>
      <c r="B260" s="1866"/>
      <c r="C260" s="1851"/>
      <c r="D260" s="1851"/>
      <c r="E260" s="1851"/>
      <c r="F260" s="1846"/>
      <c r="G260" s="1846"/>
      <c r="H260" s="1846"/>
      <c r="I260" s="1846"/>
      <c r="J260" s="1823"/>
      <c r="K260" s="1823"/>
      <c r="L260" s="1819"/>
      <c r="M260" s="1821"/>
      <c r="N260" s="1783"/>
      <c r="O260" s="1781"/>
      <c r="P260" s="1783"/>
      <c r="Q260" s="1803"/>
      <c r="R260" s="1783"/>
      <c r="S260" s="1783"/>
      <c r="T260" s="1776"/>
      <c r="U260" s="1777"/>
    </row>
    <row r="261" spans="1:21" ht="11.25" customHeight="1">
      <c r="A261" s="1826"/>
      <c r="B261" s="1876" t="s">
        <v>107</v>
      </c>
      <c r="C261" s="1781"/>
      <c r="D261" s="1781">
        <v>90019</v>
      </c>
      <c r="E261" s="1781"/>
      <c r="F261" s="1846" t="s">
        <v>502</v>
      </c>
      <c r="G261" s="1846"/>
      <c r="H261" s="1846"/>
      <c r="I261" s="1846"/>
      <c r="J261" s="1823"/>
      <c r="K261" s="1823"/>
      <c r="L261" s="1819"/>
      <c r="M261" s="1821"/>
      <c r="N261" s="1783"/>
      <c r="O261" s="1781"/>
      <c r="P261" s="1783"/>
      <c r="Q261" s="1803"/>
      <c r="R261" s="1783"/>
      <c r="S261" s="1783"/>
      <c r="T261" s="1776"/>
      <c r="U261" s="1777"/>
    </row>
    <row r="262" spans="1:21" ht="18" customHeight="1">
      <c r="A262" s="1826"/>
      <c r="B262" s="1877"/>
      <c r="C262" s="1832"/>
      <c r="D262" s="1832"/>
      <c r="E262" s="1832"/>
      <c r="F262" s="1847"/>
      <c r="G262" s="1847"/>
      <c r="H262" s="1847"/>
      <c r="I262" s="1847"/>
      <c r="J262" s="1823"/>
      <c r="K262" s="1823"/>
      <c r="L262" s="1819"/>
      <c r="M262" s="1821"/>
      <c r="N262" s="1783"/>
      <c r="O262" s="1781"/>
      <c r="P262" s="1783"/>
      <c r="Q262" s="1803"/>
      <c r="R262" s="1783"/>
      <c r="S262" s="1783"/>
      <c r="T262" s="1778"/>
      <c r="U262" s="1779"/>
    </row>
    <row r="263" spans="1:21" ht="11.25" customHeight="1">
      <c r="A263" s="1827"/>
      <c r="B263" s="1834" t="s">
        <v>503</v>
      </c>
      <c r="C263" s="1835"/>
      <c r="D263" s="1835"/>
      <c r="E263" s="1835"/>
      <c r="F263" s="1835"/>
      <c r="G263" s="1835"/>
      <c r="H263" s="1835"/>
      <c r="I263" s="1836"/>
      <c r="J263" s="1872"/>
      <c r="K263" s="1823"/>
      <c r="L263" s="1819"/>
      <c r="M263" s="1781" t="s">
        <v>452</v>
      </c>
      <c r="N263" s="1787">
        <f>SUM(P263:S266)</f>
        <v>0</v>
      </c>
      <c r="O263" s="1781" t="s">
        <v>112</v>
      </c>
      <c r="P263" s="1784">
        <v>0</v>
      </c>
      <c r="Q263" s="1799">
        <v>0</v>
      </c>
      <c r="R263" s="1787">
        <v>0</v>
      </c>
      <c r="S263" s="1787">
        <v>0</v>
      </c>
      <c r="T263" s="1770">
        <f>$P$6</f>
        <v>2013</v>
      </c>
      <c r="U263" s="1772">
        <f>P259</f>
        <v>160430</v>
      </c>
    </row>
    <row r="264" spans="1:21" ht="13.5" customHeight="1">
      <c r="A264" s="1827"/>
      <c r="B264" s="1837"/>
      <c r="C264" s="1838"/>
      <c r="D264" s="1838"/>
      <c r="E264" s="1838"/>
      <c r="F264" s="1838"/>
      <c r="G264" s="1838"/>
      <c r="H264" s="1838"/>
      <c r="I264" s="1839"/>
      <c r="J264" s="1872"/>
      <c r="K264" s="1823"/>
      <c r="L264" s="1819"/>
      <c r="M264" s="1781"/>
      <c r="N264" s="1787"/>
      <c r="O264" s="1781"/>
      <c r="P264" s="1785"/>
      <c r="Q264" s="1800"/>
      <c r="R264" s="1787"/>
      <c r="S264" s="1787"/>
      <c r="T264" s="1771"/>
      <c r="U264" s="1767"/>
    </row>
    <row r="265" spans="1:21" ht="10.5" customHeight="1">
      <c r="A265" s="1827"/>
      <c r="B265" s="1837"/>
      <c r="C265" s="1838"/>
      <c r="D265" s="1838"/>
      <c r="E265" s="1838"/>
      <c r="F265" s="1838"/>
      <c r="G265" s="1838"/>
      <c r="H265" s="1838"/>
      <c r="I265" s="1839"/>
      <c r="J265" s="1872"/>
      <c r="K265" s="1823"/>
      <c r="L265" s="1783">
        <v>0</v>
      </c>
      <c r="M265" s="1781"/>
      <c r="N265" s="1787"/>
      <c r="O265" s="1781"/>
      <c r="P265" s="1785"/>
      <c r="Q265" s="1800"/>
      <c r="R265" s="1787"/>
      <c r="S265" s="1787"/>
      <c r="T265" s="1768">
        <f>$Q$6</f>
        <v>2014</v>
      </c>
      <c r="U265" s="1767">
        <f>Q259</f>
        <v>1000000</v>
      </c>
    </row>
    <row r="266" spans="1:21" ht="10.5" customHeight="1">
      <c r="A266" s="1827"/>
      <c r="B266" s="1840"/>
      <c r="C266" s="1841"/>
      <c r="D266" s="1841"/>
      <c r="E266" s="1841"/>
      <c r="F266" s="1841"/>
      <c r="G266" s="1841"/>
      <c r="H266" s="1841"/>
      <c r="I266" s="1842"/>
      <c r="J266" s="1872"/>
      <c r="K266" s="1823"/>
      <c r="L266" s="1783"/>
      <c r="M266" s="1781"/>
      <c r="N266" s="1784"/>
      <c r="O266" s="1781"/>
      <c r="P266" s="1786"/>
      <c r="Q266" s="1817"/>
      <c r="R266" s="1787"/>
      <c r="S266" s="1787"/>
      <c r="T266" s="1768"/>
      <c r="U266" s="1767"/>
    </row>
    <row r="267" spans="1:21" ht="10.5" customHeight="1">
      <c r="A267" s="1827"/>
      <c r="B267" s="1852" t="s">
        <v>534</v>
      </c>
      <c r="C267" s="1853"/>
      <c r="D267" s="1853"/>
      <c r="E267" s="1853"/>
      <c r="F267" s="1853"/>
      <c r="G267" s="1853"/>
      <c r="H267" s="1853"/>
      <c r="I267" s="1854"/>
      <c r="J267" s="1823"/>
      <c r="K267" s="1823"/>
      <c r="L267" s="1783"/>
      <c r="M267" s="1832" t="s">
        <v>123</v>
      </c>
      <c r="N267" s="1787">
        <f>SUM(P267:S270)</f>
        <v>1160430</v>
      </c>
      <c r="O267" s="1781" t="s">
        <v>112</v>
      </c>
      <c r="P267" s="1784">
        <v>160430</v>
      </c>
      <c r="Q267" s="1799">
        <v>1000000</v>
      </c>
      <c r="R267" s="1787">
        <v>0</v>
      </c>
      <c r="S267" s="1787">
        <v>0</v>
      </c>
      <c r="T267" s="1768">
        <v>2015</v>
      </c>
      <c r="U267" s="1767">
        <f>R259</f>
        <v>0</v>
      </c>
    </row>
    <row r="268" spans="1:21" ht="9" customHeight="1">
      <c r="A268" s="1827"/>
      <c r="B268" s="1852"/>
      <c r="C268" s="1853"/>
      <c r="D268" s="1853"/>
      <c r="E268" s="1853"/>
      <c r="F268" s="1853"/>
      <c r="G268" s="1853"/>
      <c r="H268" s="1853"/>
      <c r="I268" s="1854"/>
      <c r="J268" s="1823"/>
      <c r="K268" s="1823"/>
      <c r="L268" s="1783"/>
      <c r="M268" s="1823"/>
      <c r="N268" s="1787"/>
      <c r="O268" s="1781"/>
      <c r="P268" s="1785"/>
      <c r="Q268" s="1800"/>
      <c r="R268" s="1787"/>
      <c r="S268" s="1787"/>
      <c r="T268" s="1768"/>
      <c r="U268" s="1767"/>
    </row>
    <row r="269" spans="1:21" ht="9.75" customHeight="1">
      <c r="A269" s="1827"/>
      <c r="B269" s="1852"/>
      <c r="C269" s="1853"/>
      <c r="D269" s="1853"/>
      <c r="E269" s="1853"/>
      <c r="F269" s="1853"/>
      <c r="G269" s="1853"/>
      <c r="H269" s="1853"/>
      <c r="I269" s="1854"/>
      <c r="J269" s="1823"/>
      <c r="K269" s="1823"/>
      <c r="L269" s="1783"/>
      <c r="M269" s="1823"/>
      <c r="N269" s="1787"/>
      <c r="O269" s="1781"/>
      <c r="P269" s="1785"/>
      <c r="Q269" s="1800"/>
      <c r="R269" s="1787"/>
      <c r="S269" s="1787"/>
      <c r="T269" s="1768"/>
      <c r="U269" s="1767"/>
    </row>
    <row r="270" spans="1:21" ht="18" customHeight="1" thickBot="1">
      <c r="A270" s="1863"/>
      <c r="B270" s="1855"/>
      <c r="C270" s="1856"/>
      <c r="D270" s="1856"/>
      <c r="E270" s="1856"/>
      <c r="F270" s="1856"/>
      <c r="G270" s="1856"/>
      <c r="H270" s="1856"/>
      <c r="I270" s="1857"/>
      <c r="J270" s="1824"/>
      <c r="K270" s="1824"/>
      <c r="L270" s="1858"/>
      <c r="M270" s="1824"/>
      <c r="N270" s="1788"/>
      <c r="O270" s="1896"/>
      <c r="P270" s="1798"/>
      <c r="Q270" s="1801"/>
      <c r="R270" s="1788"/>
      <c r="S270" s="1788"/>
      <c r="T270" s="1769"/>
      <c r="U270" s="1773"/>
    </row>
    <row r="271" spans="1:21" ht="40.5" customHeight="1" thickTop="1" thickBot="1">
      <c r="A271" s="1232"/>
      <c r="B271" s="1215"/>
      <c r="C271" s="1215"/>
      <c r="D271" s="1215"/>
      <c r="E271" s="1215"/>
      <c r="F271" s="1215"/>
      <c r="G271" s="1215"/>
      <c r="H271" s="1215"/>
      <c r="I271" s="1215"/>
      <c r="J271" s="65"/>
      <c r="K271" s="65"/>
      <c r="L271" s="64"/>
      <c r="M271" s="65"/>
      <c r="N271" s="193"/>
      <c r="O271" s="65"/>
      <c r="P271" s="193"/>
      <c r="Q271" s="1228"/>
      <c r="R271" s="193"/>
      <c r="S271" s="193"/>
      <c r="T271" s="1219"/>
      <c r="U271" s="1220"/>
    </row>
    <row r="272" spans="1:21" ht="8.25" customHeight="1" thickTop="1">
      <c r="A272" s="1825">
        <v>22</v>
      </c>
      <c r="B272" s="1864" t="s">
        <v>101</v>
      </c>
      <c r="C272" s="1865"/>
      <c r="D272" s="1865">
        <v>801</v>
      </c>
      <c r="E272" s="1865"/>
      <c r="F272" s="1871" t="s">
        <v>141</v>
      </c>
      <c r="G272" s="1871"/>
      <c r="H272" s="1871"/>
      <c r="I272" s="1871"/>
      <c r="J272" s="1822">
        <v>2013</v>
      </c>
      <c r="K272" s="1822">
        <v>2014</v>
      </c>
      <c r="L272" s="1818">
        <v>1300000</v>
      </c>
      <c r="M272" s="1820" t="s">
        <v>120</v>
      </c>
      <c r="N272" s="1782">
        <f>IF(SUM(N276:N283)=T272,SUM(N276:N283),"wielbłąd")</f>
        <v>1250000</v>
      </c>
      <c r="O272" s="1780" t="s">
        <v>112</v>
      </c>
      <c r="P272" s="1782">
        <f t="shared" ref="P272" si="31">SUM(P276:P283)</f>
        <v>0</v>
      </c>
      <c r="Q272" s="1802">
        <f t="shared" ref="Q272:S272" si="32">SUM(Q276:Q283)</f>
        <v>1250000</v>
      </c>
      <c r="R272" s="1782">
        <f t="shared" si="32"/>
        <v>0</v>
      </c>
      <c r="S272" s="1782">
        <f t="shared" si="32"/>
        <v>0</v>
      </c>
      <c r="T272" s="1774">
        <f>SUM(U276:U283)</f>
        <v>1250000</v>
      </c>
      <c r="U272" s="1775"/>
    </row>
    <row r="273" spans="1:21" ht="12" customHeight="1">
      <c r="A273" s="1826"/>
      <c r="B273" s="1866"/>
      <c r="C273" s="1851"/>
      <c r="D273" s="1851"/>
      <c r="E273" s="1851"/>
      <c r="F273" s="1846"/>
      <c r="G273" s="1846"/>
      <c r="H273" s="1846"/>
      <c r="I273" s="1846"/>
      <c r="J273" s="1823"/>
      <c r="K273" s="1823"/>
      <c r="L273" s="1819"/>
      <c r="M273" s="1821"/>
      <c r="N273" s="1783"/>
      <c r="O273" s="1781"/>
      <c r="P273" s="1783"/>
      <c r="Q273" s="1803"/>
      <c r="R273" s="1783"/>
      <c r="S273" s="1783"/>
      <c r="T273" s="1776"/>
      <c r="U273" s="1777"/>
    </row>
    <row r="274" spans="1:21" ht="8.25" customHeight="1">
      <c r="A274" s="1826"/>
      <c r="B274" s="1876" t="s">
        <v>107</v>
      </c>
      <c r="C274" s="1781"/>
      <c r="D274" s="1781">
        <v>80101</v>
      </c>
      <c r="E274" s="1781"/>
      <c r="F274" s="1846" t="s">
        <v>504</v>
      </c>
      <c r="G274" s="1846"/>
      <c r="H274" s="1846"/>
      <c r="I274" s="1846"/>
      <c r="J274" s="1823"/>
      <c r="K274" s="1823"/>
      <c r="L274" s="1819"/>
      <c r="M274" s="1821"/>
      <c r="N274" s="1783"/>
      <c r="O274" s="1781"/>
      <c r="P274" s="1783"/>
      <c r="Q274" s="1803"/>
      <c r="R274" s="1783"/>
      <c r="S274" s="1783"/>
      <c r="T274" s="1776"/>
      <c r="U274" s="1777"/>
    </row>
    <row r="275" spans="1:21" ht="16.5" customHeight="1">
      <c r="A275" s="1826"/>
      <c r="B275" s="1877"/>
      <c r="C275" s="1832"/>
      <c r="D275" s="1832"/>
      <c r="E275" s="1832"/>
      <c r="F275" s="1847"/>
      <c r="G275" s="1847"/>
      <c r="H275" s="1847"/>
      <c r="I275" s="1847"/>
      <c r="J275" s="1823"/>
      <c r="K275" s="1823"/>
      <c r="L275" s="1819"/>
      <c r="M275" s="1821"/>
      <c r="N275" s="1783"/>
      <c r="O275" s="1781"/>
      <c r="P275" s="1783"/>
      <c r="Q275" s="1803"/>
      <c r="R275" s="1783"/>
      <c r="S275" s="1783"/>
      <c r="T275" s="1778"/>
      <c r="U275" s="1779"/>
    </row>
    <row r="276" spans="1:21" ht="16.5" customHeight="1">
      <c r="A276" s="1827"/>
      <c r="B276" s="1834" t="s">
        <v>505</v>
      </c>
      <c r="C276" s="1835"/>
      <c r="D276" s="1835"/>
      <c r="E276" s="1835"/>
      <c r="F276" s="1835"/>
      <c r="G276" s="1835"/>
      <c r="H276" s="1835"/>
      <c r="I276" s="1836"/>
      <c r="J276" s="1872"/>
      <c r="K276" s="1823"/>
      <c r="L276" s="1819"/>
      <c r="M276" s="1781" t="s">
        <v>452</v>
      </c>
      <c r="N276" s="1787">
        <f>SUM(P276:S279)</f>
        <v>363000</v>
      </c>
      <c r="O276" s="1781" t="s">
        <v>112</v>
      </c>
      <c r="P276" s="1784">
        <v>0</v>
      </c>
      <c r="Q276" s="1799">
        <v>363000</v>
      </c>
      <c r="R276" s="1787">
        <v>0</v>
      </c>
      <c r="S276" s="1787">
        <v>0</v>
      </c>
      <c r="T276" s="1770">
        <f>$P$6</f>
        <v>2013</v>
      </c>
      <c r="U276" s="1772">
        <f>P272</f>
        <v>0</v>
      </c>
    </row>
    <row r="277" spans="1:21" ht="8.25" customHeight="1">
      <c r="A277" s="1827"/>
      <c r="B277" s="1837"/>
      <c r="C277" s="1838"/>
      <c r="D277" s="1838"/>
      <c r="E277" s="1838"/>
      <c r="F277" s="1838"/>
      <c r="G277" s="1838"/>
      <c r="H277" s="1838"/>
      <c r="I277" s="1839"/>
      <c r="J277" s="1872"/>
      <c r="K277" s="1823"/>
      <c r="L277" s="1819"/>
      <c r="M277" s="1781"/>
      <c r="N277" s="1787"/>
      <c r="O277" s="1781"/>
      <c r="P277" s="1785"/>
      <c r="Q277" s="1800"/>
      <c r="R277" s="1787"/>
      <c r="S277" s="1787"/>
      <c r="T277" s="1771"/>
      <c r="U277" s="1767"/>
    </row>
    <row r="278" spans="1:21" ht="8.25" customHeight="1">
      <c r="A278" s="1827"/>
      <c r="B278" s="1837"/>
      <c r="C278" s="1838"/>
      <c r="D278" s="1838"/>
      <c r="E278" s="1838"/>
      <c r="F278" s="1838"/>
      <c r="G278" s="1838"/>
      <c r="H278" s="1838"/>
      <c r="I278" s="1839"/>
      <c r="J278" s="1872"/>
      <c r="K278" s="1823"/>
      <c r="L278" s="1783">
        <v>0</v>
      </c>
      <c r="M278" s="1781"/>
      <c r="N278" s="1787"/>
      <c r="O278" s="1781"/>
      <c r="P278" s="1785"/>
      <c r="Q278" s="1800"/>
      <c r="R278" s="1787"/>
      <c r="S278" s="1787"/>
      <c r="T278" s="1768">
        <f>$Q$6</f>
        <v>2014</v>
      </c>
      <c r="U278" s="1767">
        <f>Q272</f>
        <v>1250000</v>
      </c>
    </row>
    <row r="279" spans="1:21" ht="13.5" customHeight="1">
      <c r="A279" s="1827"/>
      <c r="B279" s="1840"/>
      <c r="C279" s="1841"/>
      <c r="D279" s="1841"/>
      <c r="E279" s="1841"/>
      <c r="F279" s="1841"/>
      <c r="G279" s="1841"/>
      <c r="H279" s="1841"/>
      <c r="I279" s="1842"/>
      <c r="J279" s="1872"/>
      <c r="K279" s="1823"/>
      <c r="L279" s="1783"/>
      <c r="M279" s="1781"/>
      <c r="N279" s="1784"/>
      <c r="O279" s="1781"/>
      <c r="P279" s="1786"/>
      <c r="Q279" s="1817"/>
      <c r="R279" s="1787"/>
      <c r="S279" s="1787"/>
      <c r="T279" s="1768"/>
      <c r="U279" s="1767"/>
    </row>
    <row r="280" spans="1:21" ht="13.5" customHeight="1">
      <c r="A280" s="1827"/>
      <c r="B280" s="1852" t="s">
        <v>535</v>
      </c>
      <c r="C280" s="1853"/>
      <c r="D280" s="1853"/>
      <c r="E280" s="1853"/>
      <c r="F280" s="1853"/>
      <c r="G280" s="1853"/>
      <c r="H280" s="1853"/>
      <c r="I280" s="1854"/>
      <c r="J280" s="1823"/>
      <c r="K280" s="1823"/>
      <c r="L280" s="1783"/>
      <c r="M280" s="1832" t="s">
        <v>123</v>
      </c>
      <c r="N280" s="1787">
        <f>SUM(P280:S283)</f>
        <v>887000</v>
      </c>
      <c r="O280" s="1781" t="s">
        <v>112</v>
      </c>
      <c r="P280" s="1784">
        <v>0</v>
      </c>
      <c r="Q280" s="1799">
        <v>887000</v>
      </c>
      <c r="R280" s="1787">
        <v>0</v>
      </c>
      <c r="S280" s="1787">
        <v>0</v>
      </c>
      <c r="T280" s="1768"/>
      <c r="U280" s="1767"/>
    </row>
    <row r="281" spans="1:21" ht="14.25" customHeight="1">
      <c r="A281" s="1827"/>
      <c r="B281" s="1852"/>
      <c r="C281" s="1853"/>
      <c r="D281" s="1853"/>
      <c r="E281" s="1853"/>
      <c r="F281" s="1853"/>
      <c r="G281" s="1853"/>
      <c r="H281" s="1853"/>
      <c r="I281" s="1854"/>
      <c r="J281" s="1823"/>
      <c r="K281" s="1823"/>
      <c r="L281" s="1783"/>
      <c r="M281" s="1823"/>
      <c r="N281" s="1787"/>
      <c r="O281" s="1781"/>
      <c r="P281" s="1785"/>
      <c r="Q281" s="1800"/>
      <c r="R281" s="1787"/>
      <c r="S281" s="1787"/>
      <c r="T281" s="1768"/>
      <c r="U281" s="1767"/>
    </row>
    <row r="282" spans="1:21" ht="8.25" customHeight="1">
      <c r="A282" s="1827"/>
      <c r="B282" s="1852"/>
      <c r="C282" s="1853"/>
      <c r="D282" s="1853"/>
      <c r="E282" s="1853"/>
      <c r="F282" s="1853"/>
      <c r="G282" s="1853"/>
      <c r="H282" s="1853"/>
      <c r="I282" s="1854"/>
      <c r="J282" s="1823"/>
      <c r="K282" s="1823"/>
      <c r="L282" s="1783"/>
      <c r="M282" s="1823"/>
      <c r="N282" s="1787"/>
      <c r="O282" s="1781"/>
      <c r="P282" s="1785"/>
      <c r="Q282" s="1800"/>
      <c r="R282" s="1787"/>
      <c r="S282" s="1787"/>
      <c r="T282" s="1768"/>
      <c r="U282" s="1767"/>
    </row>
    <row r="283" spans="1:21" ht="19.5" hidden="1" customHeight="1" thickBot="1">
      <c r="A283" s="1863"/>
      <c r="B283" s="1855"/>
      <c r="C283" s="1856"/>
      <c r="D283" s="1856"/>
      <c r="E283" s="1856"/>
      <c r="F283" s="1856"/>
      <c r="G283" s="1856"/>
      <c r="H283" s="1856"/>
      <c r="I283" s="1857"/>
      <c r="J283" s="1824"/>
      <c r="K283" s="1824"/>
      <c r="L283" s="1858"/>
      <c r="M283" s="1824"/>
      <c r="N283" s="1788"/>
      <c r="O283" s="1896"/>
      <c r="P283" s="1798"/>
      <c r="Q283" s="1801"/>
      <c r="R283" s="1788"/>
      <c r="S283" s="1788"/>
      <c r="T283" s="1769"/>
      <c r="U283" s="1773"/>
    </row>
    <row r="284" spans="1:21" ht="8.25" customHeight="1" thickBot="1">
      <c r="A284" s="1232"/>
      <c r="B284" s="1215"/>
      <c r="C284" s="1215"/>
      <c r="D284" s="1215"/>
      <c r="E284" s="1215"/>
      <c r="F284" s="1215"/>
      <c r="G284" s="1215"/>
      <c r="H284" s="1215"/>
      <c r="I284" s="1215"/>
      <c r="J284" s="65"/>
      <c r="K284" s="65"/>
      <c r="L284" s="64"/>
      <c r="M284" s="65"/>
      <c r="N284" s="193"/>
      <c r="O284" s="65"/>
      <c r="P284" s="193"/>
      <c r="Q284" s="1228"/>
      <c r="R284" s="193"/>
      <c r="S284" s="193"/>
      <c r="T284" s="1219"/>
      <c r="U284" s="1220"/>
    </row>
    <row r="285" spans="1:21" ht="13.5" customHeight="1" thickTop="1">
      <c r="A285" s="1825">
        <v>23</v>
      </c>
      <c r="B285" s="1864" t="s">
        <v>101</v>
      </c>
      <c r="C285" s="1865"/>
      <c r="D285" s="1865">
        <v>921</v>
      </c>
      <c r="E285" s="1865"/>
      <c r="F285" s="1871" t="s">
        <v>506</v>
      </c>
      <c r="G285" s="1871"/>
      <c r="H285" s="1871"/>
      <c r="I285" s="1871"/>
      <c r="J285" s="1822">
        <v>2013</v>
      </c>
      <c r="K285" s="1822">
        <v>2015</v>
      </c>
      <c r="L285" s="1818">
        <v>6909560</v>
      </c>
      <c r="M285" s="1820" t="s">
        <v>120</v>
      </c>
      <c r="N285" s="1782">
        <f>IF(SUM(N289:N296)=T285,SUM(N289:N296),"wielbłąd")</f>
        <v>6778841</v>
      </c>
      <c r="O285" s="1780" t="s">
        <v>112</v>
      </c>
      <c r="P285" s="1782">
        <f t="shared" ref="P285" si="33">SUM(P289:P296)</f>
        <v>0</v>
      </c>
      <c r="Q285" s="1802">
        <f t="shared" ref="Q285:S285" si="34">SUM(Q289:Q296)</f>
        <v>260775</v>
      </c>
      <c r="R285" s="1782">
        <f t="shared" si="34"/>
        <v>6518066</v>
      </c>
      <c r="S285" s="1782">
        <f t="shared" si="34"/>
        <v>0</v>
      </c>
      <c r="T285" s="1774">
        <f>SUM(U289:U296)</f>
        <v>6778841</v>
      </c>
      <c r="U285" s="1775"/>
    </row>
    <row r="286" spans="1:21" ht="12.75" customHeight="1">
      <c r="A286" s="1826"/>
      <c r="B286" s="1866"/>
      <c r="C286" s="1851"/>
      <c r="D286" s="1851"/>
      <c r="E286" s="1851"/>
      <c r="F286" s="1846"/>
      <c r="G286" s="1846"/>
      <c r="H286" s="1846"/>
      <c r="I286" s="1846"/>
      <c r="J286" s="1823"/>
      <c r="K286" s="1823"/>
      <c r="L286" s="1819"/>
      <c r="M286" s="1821"/>
      <c r="N286" s="1783"/>
      <c r="O286" s="1781"/>
      <c r="P286" s="1783"/>
      <c r="Q286" s="1803"/>
      <c r="R286" s="1783"/>
      <c r="S286" s="1783"/>
      <c r="T286" s="1776"/>
      <c r="U286" s="1777"/>
    </row>
    <row r="287" spans="1:21" ht="14.25" customHeight="1">
      <c r="A287" s="1826"/>
      <c r="B287" s="1876" t="s">
        <v>107</v>
      </c>
      <c r="C287" s="1781"/>
      <c r="D287" s="1781">
        <v>92120</v>
      </c>
      <c r="E287" s="1781"/>
      <c r="F287" s="1846" t="s">
        <v>507</v>
      </c>
      <c r="G287" s="1846"/>
      <c r="H287" s="1846"/>
      <c r="I287" s="1846"/>
      <c r="J287" s="1823"/>
      <c r="K287" s="1823"/>
      <c r="L287" s="1819"/>
      <c r="M287" s="1821"/>
      <c r="N287" s="1783"/>
      <c r="O287" s="1781"/>
      <c r="P287" s="1783"/>
      <c r="Q287" s="1803"/>
      <c r="R287" s="1783"/>
      <c r="S287" s="1783"/>
      <c r="T287" s="1776"/>
      <c r="U287" s="1777"/>
    </row>
    <row r="288" spans="1:21" ht="8.25" customHeight="1">
      <c r="A288" s="1826"/>
      <c r="B288" s="1877"/>
      <c r="C288" s="1832"/>
      <c r="D288" s="1832"/>
      <c r="E288" s="1832"/>
      <c r="F288" s="1847"/>
      <c r="G288" s="1847"/>
      <c r="H288" s="1847"/>
      <c r="I288" s="1847"/>
      <c r="J288" s="1823"/>
      <c r="K288" s="1823"/>
      <c r="L288" s="1819"/>
      <c r="M288" s="1821"/>
      <c r="N288" s="1783"/>
      <c r="O288" s="1781"/>
      <c r="P288" s="1783"/>
      <c r="Q288" s="1803"/>
      <c r="R288" s="1783"/>
      <c r="S288" s="1783"/>
      <c r="T288" s="1778"/>
      <c r="U288" s="1779"/>
    </row>
    <row r="289" spans="1:21" ht="8.25" customHeight="1">
      <c r="A289" s="1827"/>
      <c r="B289" s="1834" t="s">
        <v>508</v>
      </c>
      <c r="C289" s="1835"/>
      <c r="D289" s="1835"/>
      <c r="E289" s="1835"/>
      <c r="F289" s="1835"/>
      <c r="G289" s="1835"/>
      <c r="H289" s="1835"/>
      <c r="I289" s="1836"/>
      <c r="J289" s="1872"/>
      <c r="K289" s="1823"/>
      <c r="L289" s="1819"/>
      <c r="M289" s="1781" t="s">
        <v>452</v>
      </c>
      <c r="N289" s="1787">
        <f>SUM(P289:S292)</f>
        <v>5058537</v>
      </c>
      <c r="O289" s="1781" t="s">
        <v>112</v>
      </c>
      <c r="P289" s="1784">
        <v>0</v>
      </c>
      <c r="Q289" s="1799">
        <v>196300</v>
      </c>
      <c r="R289" s="1787">
        <v>4862237</v>
      </c>
      <c r="S289" s="1787">
        <v>0</v>
      </c>
      <c r="T289" s="1770">
        <f>$P$6</f>
        <v>2013</v>
      </c>
      <c r="U289" s="1772">
        <f>P285</f>
        <v>0</v>
      </c>
    </row>
    <row r="290" spans="1:21" ht="8.25" customHeight="1">
      <c r="A290" s="1827"/>
      <c r="B290" s="1837"/>
      <c r="C290" s="1838"/>
      <c r="D290" s="1838"/>
      <c r="E290" s="1838"/>
      <c r="F290" s="1838"/>
      <c r="G290" s="1838"/>
      <c r="H290" s="1838"/>
      <c r="I290" s="1839"/>
      <c r="J290" s="1872"/>
      <c r="K290" s="1823"/>
      <c r="L290" s="1819"/>
      <c r="M290" s="1781"/>
      <c r="N290" s="1787"/>
      <c r="O290" s="1781"/>
      <c r="P290" s="1785"/>
      <c r="Q290" s="1800"/>
      <c r="R290" s="1787"/>
      <c r="S290" s="1787"/>
      <c r="T290" s="1771"/>
      <c r="U290" s="1767"/>
    </row>
    <row r="291" spans="1:21" ht="21" customHeight="1">
      <c r="A291" s="1827"/>
      <c r="B291" s="1837"/>
      <c r="C291" s="1838"/>
      <c r="D291" s="1838"/>
      <c r="E291" s="1838"/>
      <c r="F291" s="1838"/>
      <c r="G291" s="1838"/>
      <c r="H291" s="1838"/>
      <c r="I291" s="1839"/>
      <c r="J291" s="1872"/>
      <c r="K291" s="1823"/>
      <c r="L291" s="1783">
        <v>130719</v>
      </c>
      <c r="M291" s="1781"/>
      <c r="N291" s="1787"/>
      <c r="O291" s="1781"/>
      <c r="P291" s="1785"/>
      <c r="Q291" s="1800"/>
      <c r="R291" s="1787"/>
      <c r="S291" s="1787"/>
      <c r="T291" s="1768">
        <f>$Q$6</f>
        <v>2014</v>
      </c>
      <c r="U291" s="1767">
        <f>Q285</f>
        <v>260775</v>
      </c>
    </row>
    <row r="292" spans="1:21" ht="15" customHeight="1">
      <c r="A292" s="1827"/>
      <c r="B292" s="1840"/>
      <c r="C292" s="1841"/>
      <c r="D292" s="1841"/>
      <c r="E292" s="1841"/>
      <c r="F292" s="1841"/>
      <c r="G292" s="1841"/>
      <c r="H292" s="1841"/>
      <c r="I292" s="1842"/>
      <c r="J292" s="1872"/>
      <c r="K292" s="1823"/>
      <c r="L292" s="1783"/>
      <c r="M292" s="1781"/>
      <c r="N292" s="1784"/>
      <c r="O292" s="1781"/>
      <c r="P292" s="1786"/>
      <c r="Q292" s="1817"/>
      <c r="R292" s="1787"/>
      <c r="S292" s="1787"/>
      <c r="T292" s="1768"/>
      <c r="U292" s="1767"/>
    </row>
    <row r="293" spans="1:21" ht="8.25" customHeight="1">
      <c r="A293" s="1827"/>
      <c r="B293" s="1852" t="s">
        <v>536</v>
      </c>
      <c r="C293" s="1853"/>
      <c r="D293" s="1853"/>
      <c r="E293" s="1853"/>
      <c r="F293" s="1853"/>
      <c r="G293" s="1853"/>
      <c r="H293" s="1853"/>
      <c r="I293" s="1854"/>
      <c r="J293" s="1823"/>
      <c r="K293" s="1823"/>
      <c r="L293" s="1783"/>
      <c r="M293" s="1832" t="s">
        <v>123</v>
      </c>
      <c r="N293" s="1787">
        <f>SUM(P293:S296)</f>
        <v>1720304</v>
      </c>
      <c r="O293" s="1781" t="s">
        <v>112</v>
      </c>
      <c r="P293" s="1784">
        <v>0</v>
      </c>
      <c r="Q293" s="1799">
        <v>64475</v>
      </c>
      <c r="R293" s="1787">
        <v>1655829</v>
      </c>
      <c r="S293" s="1787">
        <v>0</v>
      </c>
      <c r="T293" s="1768">
        <v>2015</v>
      </c>
      <c r="U293" s="1767">
        <f>R285</f>
        <v>6518066</v>
      </c>
    </row>
    <row r="294" spans="1:21" ht="17.25" customHeight="1">
      <c r="A294" s="1827"/>
      <c r="B294" s="1852"/>
      <c r="C294" s="1853"/>
      <c r="D294" s="1853"/>
      <c r="E294" s="1853"/>
      <c r="F294" s="1853"/>
      <c r="G294" s="1853"/>
      <c r="H294" s="1853"/>
      <c r="I294" s="1854"/>
      <c r="J294" s="1823"/>
      <c r="K294" s="1823"/>
      <c r="L294" s="1783"/>
      <c r="M294" s="1823"/>
      <c r="N294" s="1787"/>
      <c r="O294" s="1781"/>
      <c r="P294" s="1785"/>
      <c r="Q294" s="1800"/>
      <c r="R294" s="1787"/>
      <c r="S294" s="1787"/>
      <c r="T294" s="1768"/>
      <c r="U294" s="1767"/>
    </row>
    <row r="295" spans="1:21" ht="8.25" customHeight="1">
      <c r="A295" s="1827"/>
      <c r="B295" s="1852"/>
      <c r="C295" s="1853"/>
      <c r="D295" s="1853"/>
      <c r="E295" s="1853"/>
      <c r="F295" s="1853"/>
      <c r="G295" s="1853"/>
      <c r="H295" s="1853"/>
      <c r="I295" s="1854"/>
      <c r="J295" s="1823"/>
      <c r="K295" s="1823"/>
      <c r="L295" s="1783"/>
      <c r="M295" s="1823"/>
      <c r="N295" s="1787"/>
      <c r="O295" s="1781"/>
      <c r="P295" s="1785"/>
      <c r="Q295" s="1800"/>
      <c r="R295" s="1787"/>
      <c r="S295" s="1787"/>
      <c r="T295" s="1768">
        <v>2016</v>
      </c>
      <c r="U295" s="1767">
        <f>S285</f>
        <v>0</v>
      </c>
    </row>
    <row r="296" spans="1:21" ht="16.5" customHeight="1" thickBot="1">
      <c r="A296" s="1863"/>
      <c r="B296" s="1855"/>
      <c r="C296" s="1856"/>
      <c r="D296" s="1856"/>
      <c r="E296" s="1856"/>
      <c r="F296" s="1856"/>
      <c r="G296" s="1856"/>
      <c r="H296" s="1856"/>
      <c r="I296" s="1857"/>
      <c r="J296" s="1824"/>
      <c r="K296" s="1824"/>
      <c r="L296" s="1858"/>
      <c r="M296" s="1824"/>
      <c r="N296" s="1788"/>
      <c r="O296" s="1896"/>
      <c r="P296" s="1798"/>
      <c r="Q296" s="1801"/>
      <c r="R296" s="1788"/>
      <c r="S296" s="1788"/>
      <c r="T296" s="1769"/>
      <c r="U296" s="1773"/>
    </row>
    <row r="297" spans="1:21" ht="14.25" thickTop="1" thickBot="1">
      <c r="A297" s="1232"/>
      <c r="B297" s="1215"/>
      <c r="C297" s="1215"/>
      <c r="D297" s="1215"/>
      <c r="E297" s="1215"/>
      <c r="F297" s="1215"/>
      <c r="G297" s="1215"/>
      <c r="H297" s="1215"/>
      <c r="I297" s="1215"/>
      <c r="J297" s="65"/>
      <c r="K297" s="65"/>
      <c r="L297" s="64"/>
      <c r="M297" s="65"/>
      <c r="N297" s="193"/>
      <c r="O297" s="65"/>
      <c r="P297" s="193"/>
      <c r="Q297" s="1228"/>
      <c r="R297" s="193"/>
      <c r="S297" s="193"/>
      <c r="T297" s="1219"/>
      <c r="U297" s="1220"/>
    </row>
    <row r="298" spans="1:21" ht="13.5" thickTop="1">
      <c r="A298" s="1825">
        <v>24</v>
      </c>
      <c r="B298" s="1864" t="s">
        <v>101</v>
      </c>
      <c r="C298" s="1865"/>
      <c r="D298" s="1865">
        <v>750</v>
      </c>
      <c r="E298" s="1865"/>
      <c r="F298" s="1871" t="s">
        <v>488</v>
      </c>
      <c r="G298" s="1871"/>
      <c r="H298" s="1871"/>
      <c r="I298" s="1871"/>
      <c r="J298" s="1822">
        <v>2013</v>
      </c>
      <c r="K298" s="1822">
        <v>2014</v>
      </c>
      <c r="L298" s="1818">
        <v>233822</v>
      </c>
      <c r="M298" s="1820" t="s">
        <v>120</v>
      </c>
      <c r="N298" s="1782">
        <f>IF(SUM(N302:N309)=T298,SUM(N302:N309),"wielbłąd")</f>
        <v>165000</v>
      </c>
      <c r="O298" s="1780" t="s">
        <v>112</v>
      </c>
      <c r="P298" s="1782">
        <f t="shared" ref="P298" si="35">SUM(P302:P309)</f>
        <v>0</v>
      </c>
      <c r="Q298" s="1802">
        <f t="shared" ref="Q298:S298" si="36">SUM(Q302:Q309)</f>
        <v>0</v>
      </c>
      <c r="R298" s="1782">
        <f t="shared" si="36"/>
        <v>165000</v>
      </c>
      <c r="S298" s="1782">
        <f t="shared" si="36"/>
        <v>0</v>
      </c>
      <c r="T298" s="1774">
        <f>SUM(U302:U309)</f>
        <v>165000</v>
      </c>
      <c r="U298" s="1775"/>
    </row>
    <row r="299" spans="1:21">
      <c r="A299" s="1826"/>
      <c r="B299" s="1866"/>
      <c r="C299" s="1851"/>
      <c r="D299" s="1851"/>
      <c r="E299" s="1851"/>
      <c r="F299" s="1846"/>
      <c r="G299" s="1846"/>
      <c r="H299" s="1846"/>
      <c r="I299" s="1846"/>
      <c r="J299" s="1823"/>
      <c r="K299" s="1823"/>
      <c r="L299" s="1819"/>
      <c r="M299" s="1821"/>
      <c r="N299" s="1783"/>
      <c r="O299" s="1781"/>
      <c r="P299" s="1783"/>
      <c r="Q299" s="1803"/>
      <c r="R299" s="1783"/>
      <c r="S299" s="1783"/>
      <c r="T299" s="1776"/>
      <c r="U299" s="1777"/>
    </row>
    <row r="300" spans="1:21">
      <c r="A300" s="1826"/>
      <c r="B300" s="1876" t="s">
        <v>107</v>
      </c>
      <c r="C300" s="1781"/>
      <c r="D300" s="1781">
        <v>75023</v>
      </c>
      <c r="E300" s="1781"/>
      <c r="F300" s="1846" t="s">
        <v>494</v>
      </c>
      <c r="G300" s="1846"/>
      <c r="H300" s="1846"/>
      <c r="I300" s="1846"/>
      <c r="J300" s="1823"/>
      <c r="K300" s="1823"/>
      <c r="L300" s="1819"/>
      <c r="M300" s="1821"/>
      <c r="N300" s="1783"/>
      <c r="O300" s="1781"/>
      <c r="P300" s="1783"/>
      <c r="Q300" s="1803"/>
      <c r="R300" s="1783"/>
      <c r="S300" s="1783"/>
      <c r="T300" s="1776"/>
      <c r="U300" s="1777"/>
    </row>
    <row r="301" spans="1:21">
      <c r="A301" s="1826"/>
      <c r="B301" s="1877"/>
      <c r="C301" s="1832"/>
      <c r="D301" s="1832"/>
      <c r="E301" s="1832"/>
      <c r="F301" s="1847"/>
      <c r="G301" s="1847"/>
      <c r="H301" s="1847"/>
      <c r="I301" s="1847"/>
      <c r="J301" s="1823"/>
      <c r="K301" s="1823"/>
      <c r="L301" s="1819"/>
      <c r="M301" s="1821"/>
      <c r="N301" s="1783"/>
      <c r="O301" s="1781"/>
      <c r="P301" s="1783"/>
      <c r="Q301" s="1803"/>
      <c r="R301" s="1783"/>
      <c r="S301" s="1783"/>
      <c r="T301" s="1778"/>
      <c r="U301" s="1779"/>
    </row>
    <row r="302" spans="1:21">
      <c r="A302" s="1827"/>
      <c r="B302" s="1834" t="s">
        <v>495</v>
      </c>
      <c r="C302" s="1835"/>
      <c r="D302" s="1835"/>
      <c r="E302" s="1835"/>
      <c r="F302" s="1835"/>
      <c r="G302" s="1835"/>
      <c r="H302" s="1835"/>
      <c r="I302" s="1836"/>
      <c r="J302" s="1872"/>
      <c r="K302" s="1823"/>
      <c r="L302" s="1819"/>
      <c r="M302" s="1781" t="s">
        <v>540</v>
      </c>
      <c r="N302" s="1787">
        <f>SUM(P302:S305)</f>
        <v>0</v>
      </c>
      <c r="O302" s="1781" t="s">
        <v>112</v>
      </c>
      <c r="P302" s="1784">
        <v>0</v>
      </c>
      <c r="Q302" s="1799">
        <v>0</v>
      </c>
      <c r="R302" s="1787">
        <v>0</v>
      </c>
      <c r="S302" s="1787">
        <v>0</v>
      </c>
      <c r="T302" s="1770">
        <f>$P$6</f>
        <v>2013</v>
      </c>
      <c r="U302" s="1772">
        <f>P298</f>
        <v>0</v>
      </c>
    </row>
    <row r="303" spans="1:21" ht="12" customHeight="1">
      <c r="A303" s="1827"/>
      <c r="B303" s="1837"/>
      <c r="C303" s="1838"/>
      <c r="D303" s="1838"/>
      <c r="E303" s="1838"/>
      <c r="F303" s="1838"/>
      <c r="G303" s="1838"/>
      <c r="H303" s="1838"/>
      <c r="I303" s="1839"/>
      <c r="J303" s="1872"/>
      <c r="K303" s="1823"/>
      <c r="L303" s="1819"/>
      <c r="M303" s="1781"/>
      <c r="N303" s="1787"/>
      <c r="O303" s="1781"/>
      <c r="P303" s="1785"/>
      <c r="Q303" s="1800"/>
      <c r="R303" s="1787"/>
      <c r="S303" s="1787"/>
      <c r="T303" s="1771"/>
      <c r="U303" s="1767"/>
    </row>
    <row r="304" spans="1:21" ht="3" customHeight="1">
      <c r="A304" s="1827"/>
      <c r="B304" s="1837"/>
      <c r="C304" s="1838"/>
      <c r="D304" s="1838"/>
      <c r="E304" s="1838"/>
      <c r="F304" s="1838"/>
      <c r="G304" s="1838"/>
      <c r="H304" s="1838"/>
      <c r="I304" s="1839"/>
      <c r="J304" s="1872"/>
      <c r="K304" s="1823"/>
      <c r="L304" s="1783">
        <v>0</v>
      </c>
      <c r="M304" s="1781"/>
      <c r="N304" s="1787"/>
      <c r="O304" s="1781"/>
      <c r="P304" s="1785"/>
      <c r="Q304" s="1800"/>
      <c r="R304" s="1787"/>
      <c r="S304" s="1787"/>
      <c r="T304" s="1768">
        <f>$Q$6</f>
        <v>2014</v>
      </c>
      <c r="U304" s="1767">
        <f>Q298</f>
        <v>0</v>
      </c>
    </row>
    <row r="305" spans="1:21" ht="18.75" customHeight="1">
      <c r="A305" s="1827"/>
      <c r="B305" s="1840"/>
      <c r="C305" s="1841"/>
      <c r="D305" s="1841"/>
      <c r="E305" s="1841"/>
      <c r="F305" s="1841"/>
      <c r="G305" s="1841"/>
      <c r="H305" s="1841"/>
      <c r="I305" s="1842"/>
      <c r="J305" s="1872"/>
      <c r="K305" s="1823"/>
      <c r="L305" s="1783"/>
      <c r="M305" s="1781"/>
      <c r="N305" s="1784"/>
      <c r="O305" s="1781"/>
      <c r="P305" s="1786"/>
      <c r="Q305" s="1817"/>
      <c r="R305" s="1787"/>
      <c r="S305" s="1787"/>
      <c r="T305" s="1768"/>
      <c r="U305" s="1767"/>
    </row>
    <row r="306" spans="1:21">
      <c r="A306" s="1827"/>
      <c r="B306" s="1852" t="s">
        <v>534</v>
      </c>
      <c r="C306" s="1853"/>
      <c r="D306" s="1853"/>
      <c r="E306" s="1853"/>
      <c r="F306" s="1853"/>
      <c r="G306" s="1853"/>
      <c r="H306" s="1853"/>
      <c r="I306" s="1854"/>
      <c r="J306" s="1823"/>
      <c r="K306" s="1823"/>
      <c r="L306" s="1783"/>
      <c r="M306" s="1832" t="s">
        <v>123</v>
      </c>
      <c r="N306" s="1787">
        <f>SUM(P306:S309)</f>
        <v>165000</v>
      </c>
      <c r="O306" s="1781" t="s">
        <v>112</v>
      </c>
      <c r="P306" s="1784">
        <v>0</v>
      </c>
      <c r="Q306" s="1799">
        <v>0</v>
      </c>
      <c r="R306" s="1787">
        <v>165000</v>
      </c>
      <c r="S306" s="1787">
        <v>0</v>
      </c>
      <c r="T306" s="1768">
        <v>2015</v>
      </c>
      <c r="U306" s="1767">
        <f>R298</f>
        <v>165000</v>
      </c>
    </row>
    <row r="307" spans="1:21">
      <c r="A307" s="1827"/>
      <c r="B307" s="1852"/>
      <c r="C307" s="1853"/>
      <c r="D307" s="1853"/>
      <c r="E307" s="1853"/>
      <c r="F307" s="1853"/>
      <c r="G307" s="1853"/>
      <c r="H307" s="1853"/>
      <c r="I307" s="1854"/>
      <c r="J307" s="1823"/>
      <c r="K307" s="1823"/>
      <c r="L307" s="1783"/>
      <c r="M307" s="1823"/>
      <c r="N307" s="1787"/>
      <c r="O307" s="1781"/>
      <c r="P307" s="1785"/>
      <c r="Q307" s="1800"/>
      <c r="R307" s="1787"/>
      <c r="S307" s="1787"/>
      <c r="T307" s="1768"/>
      <c r="U307" s="1767"/>
    </row>
    <row r="308" spans="1:21">
      <c r="A308" s="1827"/>
      <c r="B308" s="1852"/>
      <c r="C308" s="1853"/>
      <c r="D308" s="1853"/>
      <c r="E308" s="1853"/>
      <c r="F308" s="1853"/>
      <c r="G308" s="1853"/>
      <c r="H308" s="1853"/>
      <c r="I308" s="1854"/>
      <c r="J308" s="1823"/>
      <c r="K308" s="1823"/>
      <c r="L308" s="1783"/>
      <c r="M308" s="1823"/>
      <c r="N308" s="1787"/>
      <c r="O308" s="1781"/>
      <c r="P308" s="1785"/>
      <c r="Q308" s="1800"/>
      <c r="R308" s="1787"/>
      <c r="S308" s="1787"/>
      <c r="T308" s="1768"/>
      <c r="U308" s="1767"/>
    </row>
    <row r="309" spans="1:21" ht="13.5" thickBot="1">
      <c r="A309" s="1863"/>
      <c r="B309" s="1855"/>
      <c r="C309" s="1856"/>
      <c r="D309" s="1856"/>
      <c r="E309" s="1856"/>
      <c r="F309" s="1856"/>
      <c r="G309" s="1856"/>
      <c r="H309" s="1856"/>
      <c r="I309" s="1857"/>
      <c r="J309" s="1824"/>
      <c r="K309" s="1824"/>
      <c r="L309" s="1858"/>
      <c r="M309" s="1824"/>
      <c r="N309" s="1788"/>
      <c r="O309" s="1896"/>
      <c r="P309" s="1798"/>
      <c r="Q309" s="1801"/>
      <c r="R309" s="1788"/>
      <c r="S309" s="1788"/>
      <c r="T309" s="1769"/>
      <c r="U309" s="1773"/>
    </row>
    <row r="310" spans="1:21" ht="14.25" thickTop="1" thickBot="1">
      <c r="A310" s="1232"/>
      <c r="B310" s="1215"/>
      <c r="C310" s="1215"/>
      <c r="D310" s="1215"/>
      <c r="E310" s="1215"/>
      <c r="F310" s="1215"/>
      <c r="G310" s="1215"/>
      <c r="H310" s="1215"/>
      <c r="I310" s="1215"/>
      <c r="J310" s="65"/>
      <c r="K310" s="65"/>
      <c r="L310" s="64"/>
      <c r="M310" s="65"/>
      <c r="N310" s="193"/>
      <c r="O310" s="65"/>
      <c r="P310" s="193"/>
      <c r="Q310" s="1228"/>
      <c r="R310" s="193"/>
      <c r="S310" s="193"/>
      <c r="T310" s="1219"/>
      <c r="U310" s="1220"/>
    </row>
    <row r="311" spans="1:21" ht="6" customHeight="1" thickTop="1">
      <c r="A311" s="1916" t="s">
        <v>135</v>
      </c>
      <c r="B311" s="1917"/>
      <c r="C311" s="1917"/>
      <c r="D311" s="1917"/>
      <c r="E311" s="1917"/>
      <c r="F311" s="1917"/>
      <c r="G311" s="1917"/>
      <c r="H311" s="1917"/>
      <c r="I311" s="1917"/>
      <c r="J311" s="1917"/>
      <c r="K311" s="1918"/>
      <c r="L311" s="1925">
        <f>L298+L207+L138+L164+L125+L112+L95+L82+L69+L55+L29+L272</f>
        <v>93149926.75</v>
      </c>
      <c r="M311" s="1927" t="s">
        <v>120</v>
      </c>
      <c r="N311" s="1782">
        <f>SUM(N315:N322)</f>
        <v>109451264</v>
      </c>
      <c r="O311" s="1780" t="s">
        <v>112</v>
      </c>
      <c r="P311" s="1818">
        <f>SUM(P315:P322)</f>
        <v>9748681</v>
      </c>
      <c r="Q311" s="1912">
        <f>SUM(Q315:Q322)</f>
        <v>81877857</v>
      </c>
      <c r="R311" s="1818">
        <f>SUM(R315+R319)</f>
        <v>17824726</v>
      </c>
      <c r="S311" s="1818">
        <f>SUM(S315+S319)</f>
        <v>0</v>
      </c>
      <c r="T311" s="1774"/>
      <c r="U311" s="1775"/>
    </row>
    <row r="312" spans="1:21">
      <c r="A312" s="1919"/>
      <c r="B312" s="1920"/>
      <c r="C312" s="1920"/>
      <c r="D312" s="1920"/>
      <c r="E312" s="1920"/>
      <c r="F312" s="1920"/>
      <c r="G312" s="1920"/>
      <c r="H312" s="1920"/>
      <c r="I312" s="1920"/>
      <c r="J312" s="1920"/>
      <c r="K312" s="1921"/>
      <c r="L312" s="1926"/>
      <c r="M312" s="1928"/>
      <c r="N312" s="1783"/>
      <c r="O312" s="1781"/>
      <c r="P312" s="1910"/>
      <c r="Q312" s="1913"/>
      <c r="R312" s="1910"/>
      <c r="S312" s="1910"/>
      <c r="T312" s="1776"/>
      <c r="U312" s="1777"/>
    </row>
    <row r="313" spans="1:21" ht="3" customHeight="1">
      <c r="A313" s="1919"/>
      <c r="B313" s="1920"/>
      <c r="C313" s="1920"/>
      <c r="D313" s="1920"/>
      <c r="E313" s="1920"/>
      <c r="F313" s="1920"/>
      <c r="G313" s="1920"/>
      <c r="H313" s="1920"/>
      <c r="I313" s="1920"/>
      <c r="J313" s="1920"/>
      <c r="K313" s="1921"/>
      <c r="L313" s="1926"/>
      <c r="M313" s="1928"/>
      <c r="N313" s="1783"/>
      <c r="O313" s="1781"/>
      <c r="P313" s="1910"/>
      <c r="Q313" s="1913"/>
      <c r="R313" s="1910"/>
      <c r="S313" s="1910"/>
      <c r="T313" s="1776"/>
      <c r="U313" s="1777"/>
    </row>
    <row r="314" spans="1:21">
      <c r="A314" s="1919"/>
      <c r="B314" s="1920"/>
      <c r="C314" s="1920"/>
      <c r="D314" s="1920"/>
      <c r="E314" s="1920"/>
      <c r="F314" s="1920"/>
      <c r="G314" s="1920"/>
      <c r="H314" s="1920"/>
      <c r="I314" s="1920"/>
      <c r="J314" s="1920"/>
      <c r="K314" s="1921"/>
      <c r="L314" s="1926"/>
      <c r="M314" s="1814"/>
      <c r="N314" s="1929"/>
      <c r="O314" s="1781"/>
      <c r="P314" s="1911"/>
      <c r="Q314" s="1914"/>
      <c r="R314" s="1911"/>
      <c r="S314" s="1911"/>
      <c r="T314" s="1776"/>
      <c r="U314" s="1777"/>
    </row>
    <row r="315" spans="1:21" ht="6.75" customHeight="1">
      <c r="A315" s="1919"/>
      <c r="B315" s="1920"/>
      <c r="C315" s="1920"/>
      <c r="D315" s="1920"/>
      <c r="E315" s="1920"/>
      <c r="F315" s="1920"/>
      <c r="G315" s="1920"/>
      <c r="H315" s="1920"/>
      <c r="I315" s="1920"/>
      <c r="J315" s="1920"/>
      <c r="K315" s="1921"/>
      <c r="L315" s="1904">
        <f>L304+L213+L170+L144+L131+L118+L101+L88+L75+L61+L35+L278</f>
        <v>4778513</v>
      </c>
      <c r="M315" s="1832" t="s">
        <v>122</v>
      </c>
      <c r="N315" s="1787">
        <f>SUM(P315:S318)</f>
        <v>63388408</v>
      </c>
      <c r="O315" s="1781" t="s">
        <v>112</v>
      </c>
      <c r="P315" s="1784">
        <f>P20+P33+P46+P59+P73+P86+P99+P103+P116+P129+P142+P155+P302+P168+P211+P185+P276+P289+P263+P250+P237+P224</f>
        <v>9239363</v>
      </c>
      <c r="Q315" s="1799">
        <f>Q20+Q33+Q46+Q59+Q73+Q86+Q99+Q116+Q129+Q142+Q155+Q302+Q211+Q185+Q276+Q289+Q263+Q250+Q237+Q224</f>
        <v>45102455</v>
      </c>
      <c r="R315" s="1784">
        <f t="shared" ref="R315:S315" si="37">R33+R46+R59+R73+R86+R99+R103+R116+R129+R142+R155+R302+R168+R211+R185+R276+R289+R263+R250+R237+R224</f>
        <v>9046590</v>
      </c>
      <c r="S315" s="1784">
        <f t="shared" si="37"/>
        <v>0</v>
      </c>
      <c r="T315" s="1776"/>
      <c r="U315" s="1777"/>
    </row>
    <row r="316" spans="1:21" ht="4.5" customHeight="1">
      <c r="A316" s="1919"/>
      <c r="B316" s="1920"/>
      <c r="C316" s="1920"/>
      <c r="D316" s="1920"/>
      <c r="E316" s="1920"/>
      <c r="F316" s="1920"/>
      <c r="G316" s="1920"/>
      <c r="H316" s="1920"/>
      <c r="I316" s="1920"/>
      <c r="J316" s="1920"/>
      <c r="K316" s="1921"/>
      <c r="L316" s="1904"/>
      <c r="M316" s="1823"/>
      <c r="N316" s="1787"/>
      <c r="O316" s="1781"/>
      <c r="P316" s="1906"/>
      <c r="Q316" s="1908"/>
      <c r="R316" s="1906"/>
      <c r="S316" s="1906"/>
      <c r="T316" s="1776"/>
      <c r="U316" s="1777"/>
    </row>
    <row r="317" spans="1:21" ht="12.75" customHeight="1">
      <c r="A317" s="1919"/>
      <c r="B317" s="1920"/>
      <c r="C317" s="1920"/>
      <c r="D317" s="1920"/>
      <c r="E317" s="1920"/>
      <c r="F317" s="1920"/>
      <c r="G317" s="1920"/>
      <c r="H317" s="1920"/>
      <c r="I317" s="1920"/>
      <c r="J317" s="1920"/>
      <c r="K317" s="1921"/>
      <c r="L317" s="1904"/>
      <c r="M317" s="1823"/>
      <c r="N317" s="1787"/>
      <c r="O317" s="1781"/>
      <c r="P317" s="1906"/>
      <c r="Q317" s="1908"/>
      <c r="R317" s="1906"/>
      <c r="S317" s="1906"/>
      <c r="T317" s="1776"/>
      <c r="U317" s="1777"/>
    </row>
    <row r="318" spans="1:21">
      <c r="A318" s="1919"/>
      <c r="B318" s="1920"/>
      <c r="C318" s="1920"/>
      <c r="D318" s="1920"/>
      <c r="E318" s="1920"/>
      <c r="F318" s="1920"/>
      <c r="G318" s="1920"/>
      <c r="H318" s="1920"/>
      <c r="I318" s="1920"/>
      <c r="J318" s="1920"/>
      <c r="K318" s="1921"/>
      <c r="L318" s="1904"/>
      <c r="M318" s="1895"/>
      <c r="N318" s="1787"/>
      <c r="O318" s="1781"/>
      <c r="P318" s="1907"/>
      <c r="Q318" s="1909"/>
      <c r="R318" s="1907"/>
      <c r="S318" s="1907"/>
      <c r="T318" s="1776"/>
      <c r="U318" s="1777"/>
    </row>
    <row r="319" spans="1:21" ht="6.75" customHeight="1">
      <c r="A319" s="1919"/>
      <c r="B319" s="1920"/>
      <c r="C319" s="1920"/>
      <c r="D319" s="1920"/>
      <c r="E319" s="1920"/>
      <c r="F319" s="1920"/>
      <c r="G319" s="1920"/>
      <c r="H319" s="1920"/>
      <c r="I319" s="1920"/>
      <c r="J319" s="1920"/>
      <c r="K319" s="1921"/>
      <c r="L319" s="1904"/>
      <c r="M319" s="1832" t="s">
        <v>123</v>
      </c>
      <c r="N319" s="1787">
        <f>SUM(P319:S322)</f>
        <v>46062856</v>
      </c>
      <c r="O319" s="1781" t="s">
        <v>112</v>
      </c>
      <c r="P319" s="1784">
        <f>P24+P37+P50+P63+P77+P90+P107+P120+P133+P159+P306+P172+P176+P215+P198+P189+P280+P293+P146+P267+P254+P241+P228</f>
        <v>509318</v>
      </c>
      <c r="Q319" s="1799">
        <f>Q24+Q37+Q50+Q63+Q77+Q90+Q107+Q120+Q133+Q159+Q306+Q172+Q176+Q215+Q198+Q189+Q280+Q293+Q146+Q267+Q254+Q241+Q228+Q168+Q103</f>
        <v>36775402</v>
      </c>
      <c r="R319" s="1784">
        <f t="shared" ref="R319:S319" si="38">R37+R50+R63+R77+R90+R107+R120+R133+R159+R306+R172+R176+R215+R198+R189+R280+R293+R146+R267+R254+R241+R228</f>
        <v>8778136</v>
      </c>
      <c r="S319" s="1784">
        <f t="shared" si="38"/>
        <v>0</v>
      </c>
      <c r="T319" s="1776"/>
      <c r="U319" s="1777"/>
    </row>
    <row r="320" spans="1:21" ht="4.5" customHeight="1">
      <c r="A320" s="1919"/>
      <c r="B320" s="1920"/>
      <c r="C320" s="1920"/>
      <c r="D320" s="1920"/>
      <c r="E320" s="1920"/>
      <c r="F320" s="1920"/>
      <c r="G320" s="1920"/>
      <c r="H320" s="1920"/>
      <c r="I320" s="1920"/>
      <c r="J320" s="1920"/>
      <c r="K320" s="1921"/>
      <c r="L320" s="1904"/>
      <c r="M320" s="1823"/>
      <c r="N320" s="1787"/>
      <c r="O320" s="1781"/>
      <c r="P320" s="1785"/>
      <c r="Q320" s="1800"/>
      <c r="R320" s="1785"/>
      <c r="S320" s="1785"/>
      <c r="T320" s="1776"/>
      <c r="U320" s="1777"/>
    </row>
    <row r="321" spans="1:21" ht="5.25" customHeight="1">
      <c r="A321" s="1919"/>
      <c r="B321" s="1920"/>
      <c r="C321" s="1920"/>
      <c r="D321" s="1920"/>
      <c r="E321" s="1920"/>
      <c r="F321" s="1920"/>
      <c r="G321" s="1920"/>
      <c r="H321" s="1920"/>
      <c r="I321" s="1920"/>
      <c r="J321" s="1920"/>
      <c r="K321" s="1921"/>
      <c r="L321" s="1904"/>
      <c r="M321" s="1823"/>
      <c r="N321" s="1787"/>
      <c r="O321" s="1781"/>
      <c r="P321" s="1785"/>
      <c r="Q321" s="1800"/>
      <c r="R321" s="1785"/>
      <c r="S321" s="1785"/>
      <c r="T321" s="1776"/>
      <c r="U321" s="1777"/>
    </row>
    <row r="322" spans="1:21" ht="13.5" thickBot="1">
      <c r="A322" s="1922"/>
      <c r="B322" s="1923"/>
      <c r="C322" s="1923"/>
      <c r="D322" s="1923"/>
      <c r="E322" s="1923"/>
      <c r="F322" s="1923"/>
      <c r="G322" s="1923"/>
      <c r="H322" s="1923"/>
      <c r="I322" s="1923"/>
      <c r="J322" s="1923"/>
      <c r="K322" s="1924"/>
      <c r="L322" s="1905"/>
      <c r="M322" s="1833"/>
      <c r="N322" s="1784"/>
      <c r="O322" s="1875"/>
      <c r="P322" s="1785"/>
      <c r="Q322" s="1800"/>
      <c r="R322" s="1884"/>
      <c r="S322" s="1884"/>
      <c r="T322" s="1902"/>
      <c r="U322" s="1903"/>
    </row>
    <row r="323" spans="1:21" ht="24.75" customHeight="1" thickBot="1">
      <c r="I323" s="1212"/>
      <c r="N323" s="1235" t="s">
        <v>539</v>
      </c>
      <c r="P323" s="1233" t="s">
        <v>537</v>
      </c>
      <c r="Q323" s="1234">
        <f>Q164+Q103</f>
        <v>19941761</v>
      </c>
    </row>
    <row r="324" spans="1:21" ht="15.75">
      <c r="I324" s="1211"/>
      <c r="L324" s="2026"/>
      <c r="M324" s="2027"/>
      <c r="N324" s="2027"/>
      <c r="O324" s="2027"/>
      <c r="P324" s="2027"/>
      <c r="Q324" s="1207"/>
    </row>
  </sheetData>
  <sheetProtection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1000">
    <mergeCell ref="L324:P324"/>
    <mergeCell ref="T265:T266"/>
    <mergeCell ref="U265:U266"/>
    <mergeCell ref="B267:I270"/>
    <mergeCell ref="M267:M270"/>
    <mergeCell ref="N267:N270"/>
    <mergeCell ref="O267:O270"/>
    <mergeCell ref="P267:P270"/>
    <mergeCell ref="Q267:Q270"/>
    <mergeCell ref="R267:R270"/>
    <mergeCell ref="S267:S270"/>
    <mergeCell ref="T267:T268"/>
    <mergeCell ref="T304:T305"/>
    <mergeCell ref="T308:T309"/>
    <mergeCell ref="P302:P305"/>
    <mergeCell ref="Q302:Q305"/>
    <mergeCell ref="R302:R305"/>
    <mergeCell ref="S302:S305"/>
    <mergeCell ref="T302:T303"/>
    <mergeCell ref="U302:U303"/>
    <mergeCell ref="T306:T307"/>
    <mergeCell ref="U306:U307"/>
    <mergeCell ref="U308:U309"/>
    <mergeCell ref="U304:U305"/>
    <mergeCell ref="B261:C262"/>
    <mergeCell ref="D261:E262"/>
    <mergeCell ref="F261:I262"/>
    <mergeCell ref="D248:E249"/>
    <mergeCell ref="F248:I249"/>
    <mergeCell ref="K259:K270"/>
    <mergeCell ref="N259:N262"/>
    <mergeCell ref="T254:T255"/>
    <mergeCell ref="U254:U255"/>
    <mergeCell ref="T256:T257"/>
    <mergeCell ref="U256:U257"/>
    <mergeCell ref="U263:U264"/>
    <mergeCell ref="N250:N253"/>
    <mergeCell ref="O246:O249"/>
    <mergeCell ref="P246:P249"/>
    <mergeCell ref="U252:U253"/>
    <mergeCell ref="U267:U268"/>
    <mergeCell ref="T269:T270"/>
    <mergeCell ref="U269:U270"/>
    <mergeCell ref="O263:O266"/>
    <mergeCell ref="P263:P266"/>
    <mergeCell ref="Q263:Q266"/>
    <mergeCell ref="R263:R266"/>
    <mergeCell ref="S263:S266"/>
    <mergeCell ref="A233:A244"/>
    <mergeCell ref="B233:C234"/>
    <mergeCell ref="D233:E234"/>
    <mergeCell ref="F233:I234"/>
    <mergeCell ref="J233:J244"/>
    <mergeCell ref="K233:K244"/>
    <mergeCell ref="M233:M236"/>
    <mergeCell ref="B235:C236"/>
    <mergeCell ref="D235:E236"/>
    <mergeCell ref="F235:I236"/>
    <mergeCell ref="B237:I240"/>
    <mergeCell ref="M237:M240"/>
    <mergeCell ref="L239:L244"/>
    <mergeCell ref="B241:I244"/>
    <mergeCell ref="M241:M244"/>
    <mergeCell ref="A220:A231"/>
    <mergeCell ref="B220:C221"/>
    <mergeCell ref="D220:E221"/>
    <mergeCell ref="F220:I221"/>
    <mergeCell ref="J220:J231"/>
    <mergeCell ref="K220:K231"/>
    <mergeCell ref="L220:L225"/>
    <mergeCell ref="M220:M223"/>
    <mergeCell ref="N220:N223"/>
    <mergeCell ref="B224:I227"/>
    <mergeCell ref="M224:M227"/>
    <mergeCell ref="N224:N227"/>
    <mergeCell ref="B228:I231"/>
    <mergeCell ref="D222:E223"/>
    <mergeCell ref="F222:I223"/>
    <mergeCell ref="T246:U249"/>
    <mergeCell ref="U250:U251"/>
    <mergeCell ref="S237:S240"/>
    <mergeCell ref="T237:T238"/>
    <mergeCell ref="U237:U238"/>
    <mergeCell ref="T239:T240"/>
    <mergeCell ref="U239:U240"/>
    <mergeCell ref="P241:P244"/>
    <mergeCell ref="Q241:Q244"/>
    <mergeCell ref="R241:R244"/>
    <mergeCell ref="S241:S244"/>
    <mergeCell ref="T241:T242"/>
    <mergeCell ref="U241:U242"/>
    <mergeCell ref="T243:T244"/>
    <mergeCell ref="U243:U244"/>
    <mergeCell ref="T228:T229"/>
    <mergeCell ref="U228:U229"/>
    <mergeCell ref="T230:T231"/>
    <mergeCell ref="U230:U231"/>
    <mergeCell ref="P228:P231"/>
    <mergeCell ref="Q228:Q231"/>
    <mergeCell ref="R228:R231"/>
    <mergeCell ref="S228:S231"/>
    <mergeCell ref="T233:U236"/>
    <mergeCell ref="A246:A257"/>
    <mergeCell ref="B246:C247"/>
    <mergeCell ref="D246:E247"/>
    <mergeCell ref="L252:L257"/>
    <mergeCell ref="L272:L277"/>
    <mergeCell ref="M272:M275"/>
    <mergeCell ref="N272:N275"/>
    <mergeCell ref="B274:C275"/>
    <mergeCell ref="D274:E275"/>
    <mergeCell ref="F274:I275"/>
    <mergeCell ref="B276:I279"/>
    <mergeCell ref="M276:M279"/>
    <mergeCell ref="N276:N279"/>
    <mergeCell ref="A259:A270"/>
    <mergeCell ref="B259:C260"/>
    <mergeCell ref="D259:E260"/>
    <mergeCell ref="F259:I260"/>
    <mergeCell ref="J259:J270"/>
    <mergeCell ref="L265:L270"/>
    <mergeCell ref="L259:L264"/>
    <mergeCell ref="M259:M262"/>
    <mergeCell ref="B263:I266"/>
    <mergeCell ref="M263:M266"/>
    <mergeCell ref="N263:N266"/>
    <mergeCell ref="R306:R309"/>
    <mergeCell ref="S306:S309"/>
    <mergeCell ref="O276:O279"/>
    <mergeCell ref="S246:S249"/>
    <mergeCell ref="Q250:Q253"/>
    <mergeCell ref="R250:R253"/>
    <mergeCell ref="R246:R249"/>
    <mergeCell ref="P237:P240"/>
    <mergeCell ref="Q237:Q240"/>
    <mergeCell ref="Q276:Q279"/>
    <mergeCell ref="P276:P279"/>
    <mergeCell ref="O254:O257"/>
    <mergeCell ref="P254:P257"/>
    <mergeCell ref="Q254:Q257"/>
    <mergeCell ref="R254:R257"/>
    <mergeCell ref="S254:S257"/>
    <mergeCell ref="O250:O253"/>
    <mergeCell ref="P250:P253"/>
    <mergeCell ref="Q298:Q301"/>
    <mergeCell ref="R298:R301"/>
    <mergeCell ref="S298:S301"/>
    <mergeCell ref="R280:R283"/>
    <mergeCell ref="R272:R275"/>
    <mergeCell ref="O272:O275"/>
    <mergeCell ref="A151:A162"/>
    <mergeCell ref="A298:A309"/>
    <mergeCell ref="F181:I182"/>
    <mergeCell ref="J181:J192"/>
    <mergeCell ref="K181:K192"/>
    <mergeCell ref="M181:M184"/>
    <mergeCell ref="B153:C154"/>
    <mergeCell ref="D153:E154"/>
    <mergeCell ref="F153:I154"/>
    <mergeCell ref="B151:C152"/>
    <mergeCell ref="D151:E152"/>
    <mergeCell ref="F151:I152"/>
    <mergeCell ref="J151:J162"/>
    <mergeCell ref="K151:K162"/>
    <mergeCell ref="L151:L156"/>
    <mergeCell ref="M151:M154"/>
    <mergeCell ref="B155:I158"/>
    <mergeCell ref="B181:C182"/>
    <mergeCell ref="F246:I247"/>
    <mergeCell ref="J246:J257"/>
    <mergeCell ref="K246:K257"/>
    <mergeCell ref="L246:L251"/>
    <mergeCell ref="M246:M249"/>
    <mergeCell ref="L194:L199"/>
    <mergeCell ref="L144:L149"/>
    <mergeCell ref="M146:M149"/>
    <mergeCell ref="N146:N149"/>
    <mergeCell ref="O146:O149"/>
    <mergeCell ref="P146:P149"/>
    <mergeCell ref="Q146:Q149"/>
    <mergeCell ref="R146:R149"/>
    <mergeCell ref="A138:A149"/>
    <mergeCell ref="B138:C139"/>
    <mergeCell ref="D138:E139"/>
    <mergeCell ref="F138:I139"/>
    <mergeCell ref="J138:J149"/>
    <mergeCell ref="K138:K149"/>
    <mergeCell ref="L138:L143"/>
    <mergeCell ref="M138:M141"/>
    <mergeCell ref="N138:N141"/>
    <mergeCell ref="B142:I145"/>
    <mergeCell ref="M142:M145"/>
    <mergeCell ref="N142:N145"/>
    <mergeCell ref="B146:I149"/>
    <mergeCell ref="B140:C141"/>
    <mergeCell ref="D140:E141"/>
    <mergeCell ref="F140:I141"/>
    <mergeCell ref="T88:T89"/>
    <mergeCell ref="U88:U89"/>
    <mergeCell ref="M90:M93"/>
    <mergeCell ref="N90:N93"/>
    <mergeCell ref="O90:O93"/>
    <mergeCell ref="P90:P93"/>
    <mergeCell ref="O138:O141"/>
    <mergeCell ref="P138:P141"/>
    <mergeCell ref="Q138:Q141"/>
    <mergeCell ref="R138:R141"/>
    <mergeCell ref="Q90:Q93"/>
    <mergeCell ref="R90:R93"/>
    <mergeCell ref="S90:S93"/>
    <mergeCell ref="M116:M119"/>
    <mergeCell ref="N116:N119"/>
    <mergeCell ref="O116:O119"/>
    <mergeCell ref="Q95:Q98"/>
    <mergeCell ref="Q107:Q110"/>
    <mergeCell ref="R95:R98"/>
    <mergeCell ref="M112:M115"/>
    <mergeCell ref="N112:N115"/>
    <mergeCell ref="O112:O115"/>
    <mergeCell ref="P112:P115"/>
    <mergeCell ref="S120:S123"/>
    <mergeCell ref="A16:A27"/>
    <mergeCell ref="B16:C17"/>
    <mergeCell ref="D16:E17"/>
    <mergeCell ref="F16:I17"/>
    <mergeCell ref="J16:J27"/>
    <mergeCell ref="B20:I23"/>
    <mergeCell ref="P6:P14"/>
    <mergeCell ref="Q6:Q14"/>
    <mergeCell ref="Q16:Q19"/>
    <mergeCell ref="Q20:Q23"/>
    <mergeCell ref="O16:O19"/>
    <mergeCell ref="P16:P19"/>
    <mergeCell ref="M20:M23"/>
    <mergeCell ref="N20:N23"/>
    <mergeCell ref="O20:O23"/>
    <mergeCell ref="P20:P23"/>
    <mergeCell ref="J9:J14"/>
    <mergeCell ref="K9:K14"/>
    <mergeCell ref="L9:L14"/>
    <mergeCell ref="B18:C19"/>
    <mergeCell ref="M16:M19"/>
    <mergeCell ref="N16:N19"/>
    <mergeCell ref="B11:I14"/>
    <mergeCell ref="D18:E19"/>
    <mergeCell ref="K16:K27"/>
    <mergeCell ref="L16:L21"/>
    <mergeCell ref="S82:S85"/>
    <mergeCell ref="B84:C85"/>
    <mergeCell ref="D84:E85"/>
    <mergeCell ref="F84:I85"/>
    <mergeCell ref="O86:O89"/>
    <mergeCell ref="P86:P89"/>
    <mergeCell ref="Q86:Q89"/>
    <mergeCell ref="R86:R89"/>
    <mergeCell ref="S86:S89"/>
    <mergeCell ref="L88:L93"/>
    <mergeCell ref="B31:C32"/>
    <mergeCell ref="D31:E32"/>
    <mergeCell ref="F31:I32"/>
    <mergeCell ref="B24:I27"/>
    <mergeCell ref="M24:M27"/>
    <mergeCell ref="N24:N27"/>
    <mergeCell ref="O24:O27"/>
    <mergeCell ref="P24:P27"/>
    <mergeCell ref="L22:L27"/>
    <mergeCell ref="B29:C30"/>
    <mergeCell ref="D29:E30"/>
    <mergeCell ref="B37:I40"/>
    <mergeCell ref="T26:T27"/>
    <mergeCell ref="U26:U27"/>
    <mergeCell ref="U33:U34"/>
    <mergeCell ref="T29:U32"/>
    <mergeCell ref="A1:U1"/>
    <mergeCell ref="A2:U2"/>
    <mergeCell ref="A3:A14"/>
    <mergeCell ref="B3:C4"/>
    <mergeCell ref="D3:E4"/>
    <mergeCell ref="F3:I4"/>
    <mergeCell ref="J3:K8"/>
    <mergeCell ref="L3:L8"/>
    <mergeCell ref="M3:U5"/>
    <mergeCell ref="R6:R14"/>
    <mergeCell ref="S6:S14"/>
    <mergeCell ref="T6:U14"/>
    <mergeCell ref="B5:C6"/>
    <mergeCell ref="D5:E6"/>
    <mergeCell ref="F5:I6"/>
    <mergeCell ref="M6:M14"/>
    <mergeCell ref="N6:N14"/>
    <mergeCell ref="O6:O14"/>
    <mergeCell ref="B7:I10"/>
    <mergeCell ref="F18:I19"/>
    <mergeCell ref="M37:M40"/>
    <mergeCell ref="N37:N40"/>
    <mergeCell ref="O37:O40"/>
    <mergeCell ref="P37:P40"/>
    <mergeCell ref="Q37:Q40"/>
    <mergeCell ref="R37:R40"/>
    <mergeCell ref="Q33:Q36"/>
    <mergeCell ref="R33:R36"/>
    <mergeCell ref="L29:L34"/>
    <mergeCell ref="M29:M32"/>
    <mergeCell ref="N29:N32"/>
    <mergeCell ref="O29:O32"/>
    <mergeCell ref="P33:P36"/>
    <mergeCell ref="J29:J40"/>
    <mergeCell ref="R16:R19"/>
    <mergeCell ref="S16:S19"/>
    <mergeCell ref="T16:U19"/>
    <mergeCell ref="Q24:Q27"/>
    <mergeCell ref="R24:R27"/>
    <mergeCell ref="R20:R23"/>
    <mergeCell ref="T35:T36"/>
    <mergeCell ref="U35:U36"/>
    <mergeCell ref="S33:S36"/>
    <mergeCell ref="T33:T34"/>
    <mergeCell ref="S37:S40"/>
    <mergeCell ref="T22:T23"/>
    <mergeCell ref="U22:U23"/>
    <mergeCell ref="S20:S23"/>
    <mergeCell ref="T20:T21"/>
    <mergeCell ref="U20:U21"/>
    <mergeCell ref="T37:T38"/>
    <mergeCell ref="U37:U38"/>
    <mergeCell ref="T39:T40"/>
    <mergeCell ref="U39:U40"/>
    <mergeCell ref="S24:S27"/>
    <mergeCell ref="T24:T25"/>
    <mergeCell ref="U24:U25"/>
    <mergeCell ref="A29:A40"/>
    <mergeCell ref="R29:R32"/>
    <mergeCell ref="S29:S32"/>
    <mergeCell ref="L35:L40"/>
    <mergeCell ref="K29:K40"/>
    <mergeCell ref="B33:I36"/>
    <mergeCell ref="R46:R49"/>
    <mergeCell ref="S46:S49"/>
    <mergeCell ref="K42:K53"/>
    <mergeCell ref="B46:I49"/>
    <mergeCell ref="B50:I53"/>
    <mergeCell ref="M50:M53"/>
    <mergeCell ref="N50:N53"/>
    <mergeCell ref="O50:O53"/>
    <mergeCell ref="P50:P53"/>
    <mergeCell ref="Q50:Q53"/>
    <mergeCell ref="R50:R53"/>
    <mergeCell ref="Q46:Q49"/>
    <mergeCell ref="P29:P32"/>
    <mergeCell ref="Q29:Q32"/>
    <mergeCell ref="M33:M36"/>
    <mergeCell ref="N33:N36"/>
    <mergeCell ref="O33:O36"/>
    <mergeCell ref="F29:I30"/>
    <mergeCell ref="T46:T47"/>
    <mergeCell ref="U46:U47"/>
    <mergeCell ref="T42:U45"/>
    <mergeCell ref="B44:C45"/>
    <mergeCell ref="D44:E45"/>
    <mergeCell ref="F44:I45"/>
    <mergeCell ref="L42:L47"/>
    <mergeCell ref="M42:M45"/>
    <mergeCell ref="N42:N45"/>
    <mergeCell ref="O42:O45"/>
    <mergeCell ref="P42:P45"/>
    <mergeCell ref="Q42:Q45"/>
    <mergeCell ref="M46:M49"/>
    <mergeCell ref="N46:N49"/>
    <mergeCell ref="O46:O49"/>
    <mergeCell ref="P46:P49"/>
    <mergeCell ref="B42:C43"/>
    <mergeCell ref="D42:E43"/>
    <mergeCell ref="F42:I43"/>
    <mergeCell ref="J42:J53"/>
    <mergeCell ref="T50:T51"/>
    <mergeCell ref="U50:U51"/>
    <mergeCell ref="T52:T53"/>
    <mergeCell ref="U52:U53"/>
    <mergeCell ref="A55:A66"/>
    <mergeCell ref="B55:C56"/>
    <mergeCell ref="D55:E56"/>
    <mergeCell ref="F55:I56"/>
    <mergeCell ref="J55:J66"/>
    <mergeCell ref="K55:K66"/>
    <mergeCell ref="B59:I62"/>
    <mergeCell ref="S50:S53"/>
    <mergeCell ref="A42:A53"/>
    <mergeCell ref="R55:R58"/>
    <mergeCell ref="S55:S58"/>
    <mergeCell ref="B63:I66"/>
    <mergeCell ref="M63:M66"/>
    <mergeCell ref="N63:N66"/>
    <mergeCell ref="O63:O66"/>
    <mergeCell ref="P63:P66"/>
    <mergeCell ref="Q63:Q66"/>
    <mergeCell ref="R63:R66"/>
    <mergeCell ref="S63:S66"/>
    <mergeCell ref="R42:R45"/>
    <mergeCell ref="S42:S45"/>
    <mergeCell ref="L48:L53"/>
    <mergeCell ref="U65:U66"/>
    <mergeCell ref="L61:L66"/>
    <mergeCell ref="T61:T62"/>
    <mergeCell ref="U61:U62"/>
    <mergeCell ref="S59:S62"/>
    <mergeCell ref="T59:T60"/>
    <mergeCell ref="U59:U60"/>
    <mergeCell ref="T48:T49"/>
    <mergeCell ref="U48:U49"/>
    <mergeCell ref="M73:M76"/>
    <mergeCell ref="N73:N76"/>
    <mergeCell ref="O73:O76"/>
    <mergeCell ref="P73:P76"/>
    <mergeCell ref="Q73:Q76"/>
    <mergeCell ref="T55:U58"/>
    <mergeCell ref="B57:C58"/>
    <mergeCell ref="D57:E58"/>
    <mergeCell ref="F57:I58"/>
    <mergeCell ref="L55:L60"/>
    <mergeCell ref="M55:M58"/>
    <mergeCell ref="N55:N58"/>
    <mergeCell ref="O55:O58"/>
    <mergeCell ref="P55:P58"/>
    <mergeCell ref="Q55:Q58"/>
    <mergeCell ref="M59:M62"/>
    <mergeCell ref="N59:N62"/>
    <mergeCell ref="O59:O62"/>
    <mergeCell ref="P59:P62"/>
    <mergeCell ref="Q59:Q62"/>
    <mergeCell ref="R59:R62"/>
    <mergeCell ref="T63:T64"/>
    <mergeCell ref="U63:U64"/>
    <mergeCell ref="T65:T66"/>
    <mergeCell ref="A69:A80"/>
    <mergeCell ref="L75:L80"/>
    <mergeCell ref="A112:A123"/>
    <mergeCell ref="B112:C113"/>
    <mergeCell ref="D112:E113"/>
    <mergeCell ref="F112:I113"/>
    <mergeCell ref="J112:J123"/>
    <mergeCell ref="K112:K123"/>
    <mergeCell ref="L112:L117"/>
    <mergeCell ref="B77:I80"/>
    <mergeCell ref="B73:I76"/>
    <mergeCell ref="B114:C115"/>
    <mergeCell ref="D114:E115"/>
    <mergeCell ref="F114:I115"/>
    <mergeCell ref="B116:I119"/>
    <mergeCell ref="L118:L123"/>
    <mergeCell ref="A82:A93"/>
    <mergeCell ref="B90:I93"/>
    <mergeCell ref="B99:I102"/>
    <mergeCell ref="B97:C98"/>
    <mergeCell ref="D97:E98"/>
    <mergeCell ref="F97:I98"/>
    <mergeCell ref="B120:I123"/>
    <mergeCell ref="O82:O85"/>
    <mergeCell ref="P82:P85"/>
    <mergeCell ref="A95:A110"/>
    <mergeCell ref="B95:C96"/>
    <mergeCell ref="D95:E96"/>
    <mergeCell ref="F95:I96"/>
    <mergeCell ref="B82:C83"/>
    <mergeCell ref="D82:E83"/>
    <mergeCell ref="F82:I83"/>
    <mergeCell ref="J82:J93"/>
    <mergeCell ref="K82:K93"/>
    <mergeCell ref="L82:L87"/>
    <mergeCell ref="M82:M85"/>
    <mergeCell ref="N82:N85"/>
    <mergeCell ref="B86:I89"/>
    <mergeCell ref="M86:M89"/>
    <mergeCell ref="N86:N89"/>
    <mergeCell ref="J95:J110"/>
    <mergeCell ref="K95:K110"/>
    <mergeCell ref="P95:P98"/>
    <mergeCell ref="M107:M110"/>
    <mergeCell ref="N107:N110"/>
    <mergeCell ref="O107:O110"/>
    <mergeCell ref="P107:P110"/>
    <mergeCell ref="Q82:Q85"/>
    <mergeCell ref="O99:O102"/>
    <mergeCell ref="P99:P102"/>
    <mergeCell ref="Q99:Q102"/>
    <mergeCell ref="R99:R102"/>
    <mergeCell ref="O103:O106"/>
    <mergeCell ref="T75:T76"/>
    <mergeCell ref="U75:U76"/>
    <mergeCell ref="R77:R80"/>
    <mergeCell ref="S77:S80"/>
    <mergeCell ref="T77:T78"/>
    <mergeCell ref="U77:U78"/>
    <mergeCell ref="T79:T80"/>
    <mergeCell ref="U79:U80"/>
    <mergeCell ref="U101:U102"/>
    <mergeCell ref="R82:R85"/>
    <mergeCell ref="R73:R76"/>
    <mergeCell ref="S73:S76"/>
    <mergeCell ref="T90:T91"/>
    <mergeCell ref="U90:U91"/>
    <mergeCell ref="T92:T93"/>
    <mergeCell ref="U92:U93"/>
    <mergeCell ref="T82:U85"/>
    <mergeCell ref="T86:T87"/>
    <mergeCell ref="U86:U87"/>
    <mergeCell ref="T69:U72"/>
    <mergeCell ref="B71:C72"/>
    <mergeCell ref="D71:E72"/>
    <mergeCell ref="F71:I72"/>
    <mergeCell ref="M69:M72"/>
    <mergeCell ref="N69:N72"/>
    <mergeCell ref="O69:O72"/>
    <mergeCell ref="P69:P72"/>
    <mergeCell ref="Q69:Q72"/>
    <mergeCell ref="R69:R72"/>
    <mergeCell ref="S69:S72"/>
    <mergeCell ref="B69:C70"/>
    <mergeCell ref="D69:E70"/>
    <mergeCell ref="F69:I70"/>
    <mergeCell ref="J69:J80"/>
    <mergeCell ref="K69:K80"/>
    <mergeCell ref="L69:L74"/>
    <mergeCell ref="M77:M80"/>
    <mergeCell ref="N77:N80"/>
    <mergeCell ref="O77:O80"/>
    <mergeCell ref="P77:P80"/>
    <mergeCell ref="Q77:Q80"/>
    <mergeCell ref="T73:T74"/>
    <mergeCell ref="U73:U74"/>
    <mergeCell ref="R107:R110"/>
    <mergeCell ref="S107:S110"/>
    <mergeCell ref="T103:T104"/>
    <mergeCell ref="U103:U104"/>
    <mergeCell ref="T105:T106"/>
    <mergeCell ref="U105:U106"/>
    <mergeCell ref="L95:L100"/>
    <mergeCell ref="M95:M98"/>
    <mergeCell ref="N95:N98"/>
    <mergeCell ref="M99:M102"/>
    <mergeCell ref="N99:N102"/>
    <mergeCell ref="L101:L110"/>
    <mergeCell ref="U99:U100"/>
    <mergeCell ref="S95:S98"/>
    <mergeCell ref="T95:U98"/>
    <mergeCell ref="O95:O98"/>
    <mergeCell ref="S99:S102"/>
    <mergeCell ref="T99:T100"/>
    <mergeCell ref="T101:T102"/>
    <mergeCell ref="M103:M106"/>
    <mergeCell ref="N103:N106"/>
    <mergeCell ref="P103:P106"/>
    <mergeCell ref="Q103:Q106"/>
    <mergeCell ref="T133:T134"/>
    <mergeCell ref="U133:U134"/>
    <mergeCell ref="T112:U115"/>
    <mergeCell ref="T116:T117"/>
    <mergeCell ref="U116:U117"/>
    <mergeCell ref="P120:P123"/>
    <mergeCell ref="Q120:Q123"/>
    <mergeCell ref="R120:R123"/>
    <mergeCell ref="S116:S119"/>
    <mergeCell ref="Q112:Q115"/>
    <mergeCell ref="R112:R115"/>
    <mergeCell ref="S112:S115"/>
    <mergeCell ref="Q116:Q119"/>
    <mergeCell ref="R116:R119"/>
    <mergeCell ref="T120:T121"/>
    <mergeCell ref="U120:U121"/>
    <mergeCell ref="T122:T123"/>
    <mergeCell ref="U122:U123"/>
    <mergeCell ref="P116:P119"/>
    <mergeCell ref="T118:T119"/>
    <mergeCell ref="U118:U119"/>
    <mergeCell ref="Q129:Q132"/>
    <mergeCell ref="R129:R132"/>
    <mergeCell ref="S129:S132"/>
    <mergeCell ref="A125:A136"/>
    <mergeCell ref="B125:C126"/>
    <mergeCell ref="D125:E126"/>
    <mergeCell ref="F125:I126"/>
    <mergeCell ref="J125:J136"/>
    <mergeCell ref="K125:K136"/>
    <mergeCell ref="L125:L130"/>
    <mergeCell ref="M125:M128"/>
    <mergeCell ref="N125:N128"/>
    <mergeCell ref="B129:I132"/>
    <mergeCell ref="M129:M132"/>
    <mergeCell ref="N129:N132"/>
    <mergeCell ref="B133:I136"/>
    <mergeCell ref="B127:C128"/>
    <mergeCell ref="D127:E128"/>
    <mergeCell ref="F127:I128"/>
    <mergeCell ref="L131:L136"/>
    <mergeCell ref="M120:M123"/>
    <mergeCell ref="N120:N123"/>
    <mergeCell ref="O120:O123"/>
    <mergeCell ref="O142:O145"/>
    <mergeCell ref="P142:P145"/>
    <mergeCell ref="Q142:Q145"/>
    <mergeCell ref="R142:R145"/>
    <mergeCell ref="R159:R162"/>
    <mergeCell ref="M155:M158"/>
    <mergeCell ref="N155:N158"/>
    <mergeCell ref="N151:N154"/>
    <mergeCell ref="M133:M136"/>
    <mergeCell ref="N133:N136"/>
    <mergeCell ref="O133:O136"/>
    <mergeCell ref="P133:P136"/>
    <mergeCell ref="Q133:Q136"/>
    <mergeCell ref="R133:R136"/>
    <mergeCell ref="O129:O132"/>
    <mergeCell ref="O155:O158"/>
    <mergeCell ref="P155:P158"/>
    <mergeCell ref="O159:O162"/>
    <mergeCell ref="Q125:Q128"/>
    <mergeCell ref="R125:R128"/>
    <mergeCell ref="R151:R154"/>
    <mergeCell ref="B159:I162"/>
    <mergeCell ref="L157:L162"/>
    <mergeCell ref="M159:M162"/>
    <mergeCell ref="N159:N162"/>
    <mergeCell ref="L200:L204"/>
    <mergeCell ref="B272:C273"/>
    <mergeCell ref="D272:E273"/>
    <mergeCell ref="F272:I273"/>
    <mergeCell ref="J272:J283"/>
    <mergeCell ref="K272:K283"/>
    <mergeCell ref="B250:I253"/>
    <mergeCell ref="D164:E165"/>
    <mergeCell ref="F164:I165"/>
    <mergeCell ref="L226:L231"/>
    <mergeCell ref="L233:L238"/>
    <mergeCell ref="B254:I257"/>
    <mergeCell ref="M254:M257"/>
    <mergeCell ref="B222:C223"/>
    <mergeCell ref="B248:C249"/>
    <mergeCell ref="B176:I179"/>
    <mergeCell ref="B166:C167"/>
    <mergeCell ref="D166:E167"/>
    <mergeCell ref="F166:I167"/>
    <mergeCell ref="J164:J179"/>
    <mergeCell ref="N285:N288"/>
    <mergeCell ref="B289:I292"/>
    <mergeCell ref="M289:M292"/>
    <mergeCell ref="N289:N292"/>
    <mergeCell ref="L278:L283"/>
    <mergeCell ref="O280:O283"/>
    <mergeCell ref="P272:P275"/>
    <mergeCell ref="B298:C299"/>
    <mergeCell ref="D298:E299"/>
    <mergeCell ref="F298:I299"/>
    <mergeCell ref="O298:O301"/>
    <mergeCell ref="P298:P301"/>
    <mergeCell ref="B280:I283"/>
    <mergeCell ref="M280:M283"/>
    <mergeCell ref="A272:A283"/>
    <mergeCell ref="A285:A296"/>
    <mergeCell ref="B285:C286"/>
    <mergeCell ref="D285:E286"/>
    <mergeCell ref="F285:I286"/>
    <mergeCell ref="J285:J296"/>
    <mergeCell ref="K285:K296"/>
    <mergeCell ref="L285:L290"/>
    <mergeCell ref="M285:M288"/>
    <mergeCell ref="B293:I296"/>
    <mergeCell ref="L291:L296"/>
    <mergeCell ref="M293:M296"/>
    <mergeCell ref="B287:C288"/>
    <mergeCell ref="D287:E288"/>
    <mergeCell ref="F287:I288"/>
    <mergeCell ref="A311:K322"/>
    <mergeCell ref="L311:L314"/>
    <mergeCell ref="M311:M314"/>
    <mergeCell ref="N311:N314"/>
    <mergeCell ref="O311:O314"/>
    <mergeCell ref="P311:P314"/>
    <mergeCell ref="P233:P236"/>
    <mergeCell ref="Q233:Q236"/>
    <mergeCell ref="T280:T281"/>
    <mergeCell ref="T263:T264"/>
    <mergeCell ref="B306:I309"/>
    <mergeCell ref="L304:L309"/>
    <mergeCell ref="M306:M309"/>
    <mergeCell ref="N306:N309"/>
    <mergeCell ref="O306:O309"/>
    <mergeCell ref="P306:P309"/>
    <mergeCell ref="Q306:Q309"/>
    <mergeCell ref="J298:J309"/>
    <mergeCell ref="K298:K309"/>
    <mergeCell ref="L298:L303"/>
    <mergeCell ref="O302:O305"/>
    <mergeCell ref="M298:M301"/>
    <mergeCell ref="N298:N301"/>
    <mergeCell ref="B302:I305"/>
    <mergeCell ref="M302:M305"/>
    <mergeCell ref="N302:N305"/>
    <mergeCell ref="B300:C301"/>
    <mergeCell ref="D300:E301"/>
    <mergeCell ref="F300:I301"/>
    <mergeCell ref="U211:U212"/>
    <mergeCell ref="T213:T214"/>
    <mergeCell ref="U213:U214"/>
    <mergeCell ref="U168:U169"/>
    <mergeCell ref="M250:M253"/>
    <mergeCell ref="T217:T218"/>
    <mergeCell ref="M228:M231"/>
    <mergeCell ref="N228:N231"/>
    <mergeCell ref="M215:M218"/>
    <mergeCell ref="N215:N218"/>
    <mergeCell ref="M207:M210"/>
    <mergeCell ref="N207:N210"/>
    <mergeCell ref="M211:M214"/>
    <mergeCell ref="T298:U301"/>
    <mergeCell ref="Q168:Q171"/>
    <mergeCell ref="N293:N296"/>
    <mergeCell ref="O293:O296"/>
    <mergeCell ref="P194:P197"/>
    <mergeCell ref="Q194:Q197"/>
    <mergeCell ref="T311:U322"/>
    <mergeCell ref="L315:L322"/>
    <mergeCell ref="M315:M318"/>
    <mergeCell ref="N315:N318"/>
    <mergeCell ref="O315:O318"/>
    <mergeCell ref="P315:P318"/>
    <mergeCell ref="Q315:Q318"/>
    <mergeCell ref="R315:R318"/>
    <mergeCell ref="S315:S318"/>
    <mergeCell ref="M319:M322"/>
    <mergeCell ref="N319:N322"/>
    <mergeCell ref="O319:O322"/>
    <mergeCell ref="P319:P322"/>
    <mergeCell ref="Q319:Q322"/>
    <mergeCell ref="R319:R322"/>
    <mergeCell ref="S319:S322"/>
    <mergeCell ref="S311:S314"/>
    <mergeCell ref="R311:R314"/>
    <mergeCell ref="Q311:Q314"/>
    <mergeCell ref="O259:O262"/>
    <mergeCell ref="P259:P262"/>
    <mergeCell ref="Q259:Q262"/>
    <mergeCell ref="O207:O210"/>
    <mergeCell ref="P207:P210"/>
    <mergeCell ref="O224:O227"/>
    <mergeCell ref="P224:P227"/>
    <mergeCell ref="O233:O236"/>
    <mergeCell ref="O220:O223"/>
    <mergeCell ref="P220:P223"/>
    <mergeCell ref="O215:O218"/>
    <mergeCell ref="O237:O240"/>
    <mergeCell ref="Q224:Q227"/>
    <mergeCell ref="Q220:Q223"/>
    <mergeCell ref="Q246:Q249"/>
    <mergeCell ref="Q207:Q210"/>
    <mergeCell ref="O241:O244"/>
    <mergeCell ref="N246:N249"/>
    <mergeCell ref="N189:N192"/>
    <mergeCell ref="O181:O184"/>
    <mergeCell ref="P181:P184"/>
    <mergeCell ref="O211:O214"/>
    <mergeCell ref="P211:P214"/>
    <mergeCell ref="Q211:Q214"/>
    <mergeCell ref="R211:R214"/>
    <mergeCell ref="O228:O231"/>
    <mergeCell ref="R237:R240"/>
    <mergeCell ref="Q198:Q204"/>
    <mergeCell ref="R198:R204"/>
    <mergeCell ref="R224:R227"/>
    <mergeCell ref="R220:R223"/>
    <mergeCell ref="N233:N236"/>
    <mergeCell ref="Q189:Q192"/>
    <mergeCell ref="R189:R192"/>
    <mergeCell ref="O198:O204"/>
    <mergeCell ref="P198:P204"/>
    <mergeCell ref="N237:N240"/>
    <mergeCell ref="N241:N244"/>
    <mergeCell ref="R164:R167"/>
    <mergeCell ref="S164:S167"/>
    <mergeCell ref="T164:U167"/>
    <mergeCell ref="S181:S184"/>
    <mergeCell ref="T181:U184"/>
    <mergeCell ref="U198:U199"/>
    <mergeCell ref="Q280:Q283"/>
    <mergeCell ref="Q272:Q275"/>
    <mergeCell ref="S198:S204"/>
    <mergeCell ref="T250:T251"/>
    <mergeCell ref="R276:R279"/>
    <mergeCell ref="S259:S262"/>
    <mergeCell ref="S224:S227"/>
    <mergeCell ref="T252:T253"/>
    <mergeCell ref="S220:S223"/>
    <mergeCell ref="T220:U223"/>
    <mergeCell ref="U215:U216"/>
    <mergeCell ref="S207:S210"/>
    <mergeCell ref="T224:T225"/>
    <mergeCell ref="U224:U225"/>
    <mergeCell ref="T226:T227"/>
    <mergeCell ref="U226:U227"/>
    <mergeCell ref="R259:R262"/>
    <mergeCell ref="T259:U262"/>
    <mergeCell ref="Q176:Q179"/>
    <mergeCell ref="Q181:Q184"/>
    <mergeCell ref="Q185:Q188"/>
    <mergeCell ref="O168:O171"/>
    <mergeCell ref="O189:O192"/>
    <mergeCell ref="O164:O167"/>
    <mergeCell ref="O194:O197"/>
    <mergeCell ref="M194:M197"/>
    <mergeCell ref="N194:N197"/>
    <mergeCell ref="P164:P167"/>
    <mergeCell ref="Q164:Q167"/>
    <mergeCell ref="F209:I210"/>
    <mergeCell ref="B198:I201"/>
    <mergeCell ref="N185:N188"/>
    <mergeCell ref="B183:C184"/>
    <mergeCell ref="D183:E184"/>
    <mergeCell ref="B189:I192"/>
    <mergeCell ref="O185:O188"/>
    <mergeCell ref="P185:P188"/>
    <mergeCell ref="P168:P171"/>
    <mergeCell ref="P189:P192"/>
    <mergeCell ref="M198:M204"/>
    <mergeCell ref="N198:N204"/>
    <mergeCell ref="B202:I204"/>
    <mergeCell ref="L181:L186"/>
    <mergeCell ref="L187:L192"/>
    <mergeCell ref="M176:M179"/>
    <mergeCell ref="N176:N179"/>
    <mergeCell ref="O176:O179"/>
    <mergeCell ref="B168:I171"/>
    <mergeCell ref="F183:I184"/>
    <mergeCell ref="D181:E182"/>
    <mergeCell ref="L170:L179"/>
    <mergeCell ref="P176:P179"/>
    <mergeCell ref="L213:L218"/>
    <mergeCell ref="T198:T199"/>
    <mergeCell ref="T194:U197"/>
    <mergeCell ref="R285:R288"/>
    <mergeCell ref="S285:S288"/>
    <mergeCell ref="T285:U288"/>
    <mergeCell ref="P289:P292"/>
    <mergeCell ref="Q289:Q292"/>
    <mergeCell ref="A164:A179"/>
    <mergeCell ref="B164:C165"/>
    <mergeCell ref="A207:A218"/>
    <mergeCell ref="B207:C208"/>
    <mergeCell ref="D207:E208"/>
    <mergeCell ref="F207:I208"/>
    <mergeCell ref="J207:J218"/>
    <mergeCell ref="K207:K218"/>
    <mergeCell ref="L207:L212"/>
    <mergeCell ref="B211:I214"/>
    <mergeCell ref="D194:E195"/>
    <mergeCell ref="F194:I195"/>
    <mergeCell ref="J194:J204"/>
    <mergeCell ref="K194:K204"/>
    <mergeCell ref="B209:C210"/>
    <mergeCell ref="D209:E210"/>
    <mergeCell ref="A181:A192"/>
    <mergeCell ref="T185:T186"/>
    <mergeCell ref="A194:A204"/>
    <mergeCell ref="T215:T216"/>
    <mergeCell ref="M189:M192"/>
    <mergeCell ref="N181:N184"/>
    <mergeCell ref="B185:I188"/>
    <mergeCell ref="M185:M188"/>
    <mergeCell ref="S250:S253"/>
    <mergeCell ref="R233:R236"/>
    <mergeCell ref="S233:S236"/>
    <mergeCell ref="R194:R197"/>
    <mergeCell ref="T200:T201"/>
    <mergeCell ref="R181:R184"/>
    <mergeCell ref="B196:C197"/>
    <mergeCell ref="D196:E197"/>
    <mergeCell ref="F196:I197"/>
    <mergeCell ref="B194:C195"/>
    <mergeCell ref="N211:N214"/>
    <mergeCell ref="B215:I218"/>
    <mergeCell ref="P215:P218"/>
    <mergeCell ref="Q215:Q218"/>
    <mergeCell ref="R215:R218"/>
    <mergeCell ref="S215:S218"/>
    <mergeCell ref="R103:R106"/>
    <mergeCell ref="S103:S106"/>
    <mergeCell ref="B103:I110"/>
    <mergeCell ref="M172:M175"/>
    <mergeCell ref="N172:N175"/>
    <mergeCell ref="O172:O175"/>
    <mergeCell ref="P172:P175"/>
    <mergeCell ref="Q172:Q175"/>
    <mergeCell ref="R172:R175"/>
    <mergeCell ref="S172:S175"/>
    <mergeCell ref="L164:L169"/>
    <mergeCell ref="M164:M167"/>
    <mergeCell ref="N164:N167"/>
    <mergeCell ref="M168:M171"/>
    <mergeCell ref="N168:N171"/>
    <mergeCell ref="O151:O154"/>
    <mergeCell ref="P151:P154"/>
    <mergeCell ref="Q151:Q154"/>
    <mergeCell ref="Q159:Q162"/>
    <mergeCell ref="S133:S136"/>
    <mergeCell ref="P159:P162"/>
    <mergeCell ref="Q155:Q158"/>
    <mergeCell ref="S125:S128"/>
    <mergeCell ref="K164:K179"/>
    <mergeCell ref="U282:U283"/>
    <mergeCell ref="S138:S141"/>
    <mergeCell ref="T138:U141"/>
    <mergeCell ref="S142:S145"/>
    <mergeCell ref="T142:T143"/>
    <mergeCell ref="U142:U143"/>
    <mergeCell ref="T144:T145"/>
    <mergeCell ref="U144:U145"/>
    <mergeCell ref="S146:S149"/>
    <mergeCell ref="T146:T147"/>
    <mergeCell ref="U146:U147"/>
    <mergeCell ref="U276:U277"/>
    <mergeCell ref="T176:T177"/>
    <mergeCell ref="U280:U281"/>
    <mergeCell ref="T282:T283"/>
    <mergeCell ref="S280:S283"/>
    <mergeCell ref="S272:S275"/>
    <mergeCell ref="S276:S279"/>
    <mergeCell ref="T276:T277"/>
    <mergeCell ref="S185:S188"/>
    <mergeCell ref="U170:U171"/>
    <mergeCell ref="U176:U177"/>
    <mergeCell ref="U178:U179"/>
    <mergeCell ref="S151:S154"/>
    <mergeCell ref="U295:U296"/>
    <mergeCell ref="O285:O288"/>
    <mergeCell ref="P285:P288"/>
    <mergeCell ref="N280:N283"/>
    <mergeCell ref="N254:N257"/>
    <mergeCell ref="T272:U275"/>
    <mergeCell ref="T278:T279"/>
    <mergeCell ref="U278:U279"/>
    <mergeCell ref="P280:P283"/>
    <mergeCell ref="U293:U294"/>
    <mergeCell ref="T295:T296"/>
    <mergeCell ref="O289:O292"/>
    <mergeCell ref="R289:R292"/>
    <mergeCell ref="S289:S292"/>
    <mergeCell ref="T289:T290"/>
    <mergeCell ref="U289:U290"/>
    <mergeCell ref="T291:T292"/>
    <mergeCell ref="U291:U292"/>
    <mergeCell ref="P293:P296"/>
    <mergeCell ref="Q293:Q296"/>
    <mergeCell ref="R293:R296"/>
    <mergeCell ref="S293:S296"/>
    <mergeCell ref="T293:T294"/>
    <mergeCell ref="Q285:Q288"/>
    <mergeCell ref="U217:U218"/>
    <mergeCell ref="T207:U210"/>
    <mergeCell ref="S168:S171"/>
    <mergeCell ref="T168:T169"/>
    <mergeCell ref="R176:R179"/>
    <mergeCell ref="S176:S179"/>
    <mergeCell ref="T170:T171"/>
    <mergeCell ref="R168:R171"/>
    <mergeCell ref="S194:S197"/>
    <mergeCell ref="U200:U201"/>
    <mergeCell ref="S189:S192"/>
    <mergeCell ref="T189:T190"/>
    <mergeCell ref="R207:R210"/>
    <mergeCell ref="U189:U190"/>
    <mergeCell ref="T191:T192"/>
    <mergeCell ref="U191:U192"/>
    <mergeCell ref="U185:U186"/>
    <mergeCell ref="T187:T188"/>
    <mergeCell ref="R185:R188"/>
    <mergeCell ref="U187:U188"/>
    <mergeCell ref="T178:T179"/>
    <mergeCell ref="S211:S214"/>
    <mergeCell ref="T211:T212"/>
    <mergeCell ref="U159:U160"/>
    <mergeCell ref="T161:T162"/>
    <mergeCell ref="T129:T130"/>
    <mergeCell ref="U129:U130"/>
    <mergeCell ref="U161:U162"/>
    <mergeCell ref="T125:U128"/>
    <mergeCell ref="O125:O128"/>
    <mergeCell ref="P125:P128"/>
    <mergeCell ref="P129:P132"/>
    <mergeCell ref="U135:U136"/>
    <mergeCell ref="S155:S158"/>
    <mergeCell ref="T155:T156"/>
    <mergeCell ref="U155:U156"/>
    <mergeCell ref="T157:T158"/>
    <mergeCell ref="U157:U158"/>
    <mergeCell ref="U148:U149"/>
    <mergeCell ref="T148:T149"/>
    <mergeCell ref="T135:T136"/>
    <mergeCell ref="T151:U154"/>
    <mergeCell ref="R155:R158"/>
    <mergeCell ref="S159:S162"/>
    <mergeCell ref="T159:T160"/>
    <mergeCell ref="T131:T132"/>
    <mergeCell ref="U131:U132"/>
  </mergeCells>
  <printOptions horizontalCentered="1"/>
  <pageMargins left="0.11811023622047245" right="0.11811023622047245" top="0.35433070866141736" bottom="0.19685039370078741" header="0.31496062992125984" footer="0.31496062992125984"/>
  <pageSetup paperSize="8" scale="56" fitToHeight="0" orientation="portrait" r:id="rId1"/>
  <rowBreaks count="1" manualBreakCount="1">
    <brk id="323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39"/>
  <sheetViews>
    <sheetView zoomScale="90" zoomScaleNormal="90" workbookViewId="0">
      <selection activeCell="R325" sqref="R325:R328"/>
    </sheetView>
  </sheetViews>
  <sheetFormatPr defaultColWidth="0" defaultRowHeight="12.75"/>
  <cols>
    <col min="1" max="1" width="3.42578125" style="630" customWidth="1"/>
    <col min="2" max="2" width="4.42578125" style="629" customWidth="1"/>
    <col min="3" max="3" width="4.140625" style="629" customWidth="1"/>
    <col min="4" max="4" width="3.85546875" style="629" customWidth="1"/>
    <col min="5" max="5" width="4.85546875" style="629" customWidth="1"/>
    <col min="6" max="6" width="5.85546875" style="628" customWidth="1"/>
    <col min="7" max="7" width="4.42578125" style="628" customWidth="1"/>
    <col min="8" max="8" width="5.28515625" style="628" customWidth="1"/>
    <col min="9" max="9" width="10" style="628" customWidth="1"/>
    <col min="10" max="11" width="7.140625" style="628" customWidth="1"/>
    <col min="12" max="12" width="13.42578125" style="663" customWidth="1"/>
    <col min="13" max="13" width="12" style="628" customWidth="1"/>
    <col min="14" max="14" width="16.42578125" style="628" customWidth="1"/>
    <col min="15" max="15" width="2.140625" style="628" customWidth="1"/>
    <col min="16" max="16" width="16.5703125" style="658" customWidth="1"/>
    <col min="17" max="17" width="16" style="658" customWidth="1"/>
    <col min="18" max="18" width="15.85546875" style="658" customWidth="1"/>
    <col min="19" max="20" width="15.42578125" style="658" hidden="1" customWidth="1"/>
    <col min="21" max="25" width="13.42578125" style="658" hidden="1" customWidth="1"/>
    <col min="26" max="26" width="7" style="628" customWidth="1"/>
    <col min="27" max="27" width="14" style="627" customWidth="1"/>
    <col min="28" max="28" width="3.140625" style="626" customWidth="1"/>
    <col min="29" max="30" width="0" style="626" hidden="1" customWidth="1"/>
    <col min="31" max="16384" width="9.140625" style="626" hidden="1"/>
  </cols>
  <sheetData>
    <row r="1" spans="1:27" ht="60" customHeight="1">
      <c r="A1" s="651"/>
      <c r="B1" s="650"/>
      <c r="C1" s="650"/>
      <c r="D1" s="650"/>
      <c r="E1" s="650"/>
      <c r="F1" s="649"/>
      <c r="G1" s="649"/>
      <c r="H1" s="649"/>
      <c r="I1" s="649"/>
      <c r="J1" s="649"/>
      <c r="K1" s="649"/>
      <c r="L1" s="659"/>
      <c r="M1" s="648"/>
      <c r="N1" s="648"/>
      <c r="O1" s="648"/>
      <c r="P1" s="653"/>
      <c r="Q1" s="815"/>
      <c r="R1" s="816"/>
      <c r="S1" s="816"/>
      <c r="T1" s="816"/>
      <c r="U1" s="816"/>
      <c r="V1" s="816"/>
      <c r="W1" s="2272" t="s">
        <v>445</v>
      </c>
      <c r="X1" s="2272"/>
      <c r="Y1" s="2272"/>
      <c r="Z1" s="2272"/>
      <c r="AA1" s="2272"/>
    </row>
    <row r="2" spans="1:27" ht="11.25" customHeight="1">
      <c r="A2" s="651"/>
      <c r="B2" s="650"/>
      <c r="C2" s="650"/>
      <c r="D2" s="650"/>
      <c r="E2" s="650"/>
      <c r="F2" s="649"/>
      <c r="G2" s="649"/>
      <c r="H2" s="649"/>
      <c r="I2" s="649"/>
      <c r="J2" s="649"/>
      <c r="K2" s="649"/>
      <c r="L2" s="659"/>
      <c r="M2" s="648"/>
      <c r="N2" s="648"/>
      <c r="O2" s="648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48"/>
      <c r="AA2" s="648"/>
    </row>
    <row r="3" spans="1:27" ht="21.75">
      <c r="A3" s="2247" t="s">
        <v>136</v>
      </c>
      <c r="B3" s="2247"/>
      <c r="C3" s="2247"/>
      <c r="D3" s="2247"/>
      <c r="E3" s="2247"/>
      <c r="F3" s="2247"/>
      <c r="G3" s="2247"/>
      <c r="H3" s="2247"/>
      <c r="I3" s="2247"/>
      <c r="J3" s="2247"/>
      <c r="K3" s="2247"/>
      <c r="L3" s="2247"/>
      <c r="M3" s="2247"/>
      <c r="N3" s="2247"/>
      <c r="O3" s="2247"/>
      <c r="P3" s="2247"/>
      <c r="Q3" s="2247"/>
      <c r="R3" s="2247"/>
      <c r="S3" s="2247"/>
      <c r="T3" s="2247"/>
      <c r="U3" s="2247"/>
      <c r="V3" s="2247"/>
      <c r="W3" s="2247"/>
      <c r="X3" s="2247"/>
      <c r="Y3" s="2247"/>
      <c r="Z3" s="2247"/>
      <c r="AA3" s="2247"/>
    </row>
    <row r="4" spans="1:27" ht="44.25" customHeight="1">
      <c r="A4" s="2248" t="s">
        <v>137</v>
      </c>
      <c r="B4" s="2248"/>
      <c r="C4" s="2248"/>
      <c r="D4" s="2248"/>
      <c r="E4" s="2248"/>
      <c r="F4" s="2248"/>
      <c r="G4" s="2248"/>
      <c r="H4" s="2248"/>
      <c r="I4" s="2248"/>
      <c r="J4" s="2248"/>
      <c r="K4" s="2248"/>
      <c r="L4" s="2248"/>
      <c r="M4" s="2248"/>
      <c r="N4" s="2248"/>
      <c r="O4" s="2248"/>
      <c r="P4" s="2248"/>
      <c r="Q4" s="2248"/>
      <c r="R4" s="2248"/>
      <c r="S4" s="2248"/>
      <c r="T4" s="2248"/>
      <c r="U4" s="2248"/>
      <c r="V4" s="2248"/>
      <c r="W4" s="2248"/>
      <c r="X4" s="2248"/>
      <c r="Y4" s="2248"/>
      <c r="Z4" s="2248"/>
      <c r="AA4" s="2248"/>
    </row>
    <row r="5" spans="1:27" ht="6" customHeight="1" thickBot="1">
      <c r="A5" s="647"/>
      <c r="B5" s="646"/>
      <c r="C5" s="646"/>
      <c r="D5" s="646"/>
      <c r="E5" s="646"/>
      <c r="F5" s="645"/>
      <c r="G5" s="645"/>
      <c r="H5" s="645"/>
      <c r="I5" s="645"/>
      <c r="J5" s="645"/>
      <c r="K5" s="645"/>
      <c r="L5" s="660"/>
      <c r="M5" s="645"/>
      <c r="N5" s="645"/>
      <c r="O5" s="645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45"/>
      <c r="AA5" s="644"/>
    </row>
    <row r="6" spans="1:27" ht="15.75" customHeight="1" thickTop="1">
      <c r="A6" s="2249" t="s">
        <v>138</v>
      </c>
      <c r="B6" s="2252" t="s">
        <v>101</v>
      </c>
      <c r="C6" s="2253"/>
      <c r="D6" s="2253" t="s">
        <v>102</v>
      </c>
      <c r="E6" s="2253"/>
      <c r="F6" s="2253" t="s">
        <v>103</v>
      </c>
      <c r="G6" s="2253"/>
      <c r="H6" s="2253"/>
      <c r="I6" s="2253"/>
      <c r="J6" s="2256" t="s">
        <v>104</v>
      </c>
      <c r="K6" s="2257"/>
      <c r="L6" s="2051" t="s">
        <v>105</v>
      </c>
      <c r="M6" s="2256" t="s">
        <v>106</v>
      </c>
      <c r="N6" s="2260"/>
      <c r="O6" s="2260"/>
      <c r="P6" s="2261"/>
      <c r="Q6" s="2261"/>
      <c r="R6" s="2261"/>
      <c r="S6" s="2261"/>
      <c r="T6" s="2261"/>
      <c r="U6" s="2261"/>
      <c r="V6" s="2261"/>
      <c r="W6" s="2261"/>
      <c r="X6" s="2261"/>
      <c r="Y6" s="2261"/>
      <c r="Z6" s="2261"/>
      <c r="AA6" s="2262"/>
    </row>
    <row r="7" spans="1:27" ht="18" customHeight="1">
      <c r="A7" s="2250"/>
      <c r="B7" s="2254"/>
      <c r="C7" s="2255"/>
      <c r="D7" s="2255"/>
      <c r="E7" s="2255"/>
      <c r="F7" s="2255"/>
      <c r="G7" s="2255"/>
      <c r="H7" s="2255"/>
      <c r="I7" s="2255"/>
      <c r="J7" s="2258"/>
      <c r="K7" s="2243"/>
      <c r="L7" s="2052"/>
      <c r="M7" s="2263"/>
      <c r="N7" s="2264"/>
      <c r="O7" s="2264"/>
      <c r="P7" s="2264"/>
      <c r="Q7" s="2264"/>
      <c r="R7" s="2264"/>
      <c r="S7" s="2264"/>
      <c r="T7" s="2264"/>
      <c r="U7" s="2264"/>
      <c r="V7" s="2264"/>
      <c r="W7" s="2264"/>
      <c r="X7" s="2264"/>
      <c r="Y7" s="2264"/>
      <c r="Z7" s="2264"/>
      <c r="AA7" s="2265"/>
    </row>
    <row r="8" spans="1:27">
      <c r="A8" s="2250"/>
      <c r="B8" s="2225" t="s">
        <v>107</v>
      </c>
      <c r="C8" s="2226"/>
      <c r="D8" s="2229" t="s">
        <v>108</v>
      </c>
      <c r="E8" s="2226"/>
      <c r="F8" s="2229" t="s">
        <v>109</v>
      </c>
      <c r="G8" s="2231"/>
      <c r="H8" s="2231"/>
      <c r="I8" s="2226"/>
      <c r="J8" s="2258"/>
      <c r="K8" s="2243"/>
      <c r="L8" s="2052"/>
      <c r="M8" s="2266"/>
      <c r="N8" s="2267"/>
      <c r="O8" s="2267"/>
      <c r="P8" s="2267"/>
      <c r="Q8" s="2267"/>
      <c r="R8" s="2267"/>
      <c r="S8" s="2267"/>
      <c r="T8" s="2267"/>
      <c r="U8" s="2267"/>
      <c r="V8" s="2267"/>
      <c r="W8" s="2267"/>
      <c r="X8" s="2267"/>
      <c r="Y8" s="2267"/>
      <c r="Z8" s="2267"/>
      <c r="AA8" s="2268"/>
    </row>
    <row r="9" spans="1:27" ht="22.5" customHeight="1">
      <c r="A9" s="2250"/>
      <c r="B9" s="2227"/>
      <c r="C9" s="2228"/>
      <c r="D9" s="2230"/>
      <c r="E9" s="2228"/>
      <c r="F9" s="2230"/>
      <c r="G9" s="2232"/>
      <c r="H9" s="2232"/>
      <c r="I9" s="2228"/>
      <c r="J9" s="2258"/>
      <c r="K9" s="2243"/>
      <c r="L9" s="2052"/>
      <c r="M9" s="2233" t="s">
        <v>139</v>
      </c>
      <c r="N9" s="2233" t="s">
        <v>111</v>
      </c>
      <c r="O9" s="2233" t="s">
        <v>112</v>
      </c>
      <c r="P9" s="2200">
        <v>2013</v>
      </c>
      <c r="Q9" s="2200">
        <v>2014</v>
      </c>
      <c r="R9" s="2208">
        <v>2015</v>
      </c>
      <c r="S9" s="2208">
        <v>2016</v>
      </c>
      <c r="T9" s="2208">
        <v>2017</v>
      </c>
      <c r="U9" s="2208">
        <v>2018</v>
      </c>
      <c r="V9" s="2208">
        <v>2019</v>
      </c>
      <c r="W9" s="2208">
        <v>2020</v>
      </c>
      <c r="X9" s="2208">
        <v>2021</v>
      </c>
      <c r="Y9" s="2208">
        <v>2022</v>
      </c>
      <c r="Z9" s="2219" t="s">
        <v>113</v>
      </c>
      <c r="AA9" s="2220"/>
    </row>
    <row r="10" spans="1:27">
      <c r="A10" s="2238"/>
      <c r="B10" s="2238" t="s">
        <v>114</v>
      </c>
      <c r="C10" s="2239"/>
      <c r="D10" s="2239"/>
      <c r="E10" s="2239"/>
      <c r="F10" s="2239"/>
      <c r="G10" s="2239"/>
      <c r="H10" s="2239"/>
      <c r="I10" s="2240"/>
      <c r="J10" s="2258"/>
      <c r="K10" s="2243"/>
      <c r="L10" s="2052"/>
      <c r="M10" s="2234"/>
      <c r="N10" s="2236"/>
      <c r="O10" s="2236"/>
      <c r="P10" s="2201"/>
      <c r="Q10" s="2201"/>
      <c r="R10" s="2209"/>
      <c r="S10" s="2209"/>
      <c r="T10" s="2209"/>
      <c r="U10" s="2209"/>
      <c r="V10" s="2209"/>
      <c r="W10" s="2209"/>
      <c r="X10" s="2209"/>
      <c r="Y10" s="2209"/>
      <c r="Z10" s="2221"/>
      <c r="AA10" s="2222"/>
    </row>
    <row r="11" spans="1:27">
      <c r="A11" s="2238"/>
      <c r="B11" s="2241"/>
      <c r="C11" s="2242"/>
      <c r="D11" s="2242"/>
      <c r="E11" s="2242"/>
      <c r="F11" s="2242"/>
      <c r="G11" s="2242"/>
      <c r="H11" s="2242"/>
      <c r="I11" s="2243"/>
      <c r="J11" s="2259"/>
      <c r="K11" s="2246"/>
      <c r="L11" s="2052"/>
      <c r="M11" s="2234"/>
      <c r="N11" s="2236"/>
      <c r="O11" s="2236"/>
      <c r="P11" s="2201"/>
      <c r="Q11" s="2201"/>
      <c r="R11" s="2209"/>
      <c r="S11" s="2209"/>
      <c r="T11" s="2209"/>
      <c r="U11" s="2209"/>
      <c r="V11" s="2209"/>
      <c r="W11" s="2209"/>
      <c r="X11" s="2209"/>
      <c r="Y11" s="2209"/>
      <c r="Z11" s="2221"/>
      <c r="AA11" s="2222"/>
    </row>
    <row r="12" spans="1:27">
      <c r="A12" s="2238"/>
      <c r="B12" s="2241"/>
      <c r="C12" s="2242"/>
      <c r="D12" s="2242"/>
      <c r="E12" s="2242"/>
      <c r="F12" s="2242"/>
      <c r="G12" s="2242"/>
      <c r="H12" s="2242"/>
      <c r="I12" s="2243"/>
      <c r="J12" s="2203" t="s">
        <v>115</v>
      </c>
      <c r="K12" s="2203" t="s">
        <v>116</v>
      </c>
      <c r="L12" s="2205" t="s">
        <v>117</v>
      </c>
      <c r="M12" s="2234"/>
      <c r="N12" s="2236"/>
      <c r="O12" s="2236"/>
      <c r="P12" s="2201"/>
      <c r="Q12" s="2201"/>
      <c r="R12" s="2209"/>
      <c r="S12" s="2209"/>
      <c r="T12" s="2209"/>
      <c r="U12" s="2209"/>
      <c r="V12" s="2209"/>
      <c r="W12" s="2209"/>
      <c r="X12" s="2209"/>
      <c r="Y12" s="2209"/>
      <c r="Z12" s="2221"/>
      <c r="AA12" s="2222"/>
    </row>
    <row r="13" spans="1:27" ht="5.25" customHeight="1">
      <c r="A13" s="2238"/>
      <c r="B13" s="2244"/>
      <c r="C13" s="2245"/>
      <c r="D13" s="2245"/>
      <c r="E13" s="2245"/>
      <c r="F13" s="2245"/>
      <c r="G13" s="2245"/>
      <c r="H13" s="2245"/>
      <c r="I13" s="2246"/>
      <c r="J13" s="2203"/>
      <c r="K13" s="2203"/>
      <c r="L13" s="2206"/>
      <c r="M13" s="2234"/>
      <c r="N13" s="2236"/>
      <c r="O13" s="2236"/>
      <c r="P13" s="2201"/>
      <c r="Q13" s="2201"/>
      <c r="R13" s="2209"/>
      <c r="S13" s="2209"/>
      <c r="T13" s="2209"/>
      <c r="U13" s="2209"/>
      <c r="V13" s="2209"/>
      <c r="W13" s="2209"/>
      <c r="X13" s="2209"/>
      <c r="Y13" s="2209"/>
      <c r="Z13" s="2221"/>
      <c r="AA13" s="2222"/>
    </row>
    <row r="14" spans="1:27">
      <c r="A14" s="2238"/>
      <c r="B14" s="2238" t="s">
        <v>118</v>
      </c>
      <c r="C14" s="2239"/>
      <c r="D14" s="2239"/>
      <c r="E14" s="2239"/>
      <c r="F14" s="2239"/>
      <c r="G14" s="2239"/>
      <c r="H14" s="2239"/>
      <c r="I14" s="2240"/>
      <c r="J14" s="2203"/>
      <c r="K14" s="2203"/>
      <c r="L14" s="2206"/>
      <c r="M14" s="2234"/>
      <c r="N14" s="2236"/>
      <c r="O14" s="2236"/>
      <c r="P14" s="2201"/>
      <c r="Q14" s="2201"/>
      <c r="R14" s="2209"/>
      <c r="S14" s="2209"/>
      <c r="T14" s="2209"/>
      <c r="U14" s="2209"/>
      <c r="V14" s="2209"/>
      <c r="W14" s="2209"/>
      <c r="X14" s="2209"/>
      <c r="Y14" s="2209"/>
      <c r="Z14" s="2221"/>
      <c r="AA14" s="2222"/>
    </row>
    <row r="15" spans="1:27">
      <c r="A15" s="2238"/>
      <c r="B15" s="2241"/>
      <c r="C15" s="2242"/>
      <c r="D15" s="2242"/>
      <c r="E15" s="2242"/>
      <c r="F15" s="2242"/>
      <c r="G15" s="2242"/>
      <c r="H15" s="2242"/>
      <c r="I15" s="2243"/>
      <c r="J15" s="2203"/>
      <c r="K15" s="2203"/>
      <c r="L15" s="2206"/>
      <c r="M15" s="2234"/>
      <c r="N15" s="2236"/>
      <c r="O15" s="2236"/>
      <c r="P15" s="2201"/>
      <c r="Q15" s="2201"/>
      <c r="R15" s="2209"/>
      <c r="S15" s="2209"/>
      <c r="T15" s="2209"/>
      <c r="U15" s="2209"/>
      <c r="V15" s="2209"/>
      <c r="W15" s="2209"/>
      <c r="X15" s="2209"/>
      <c r="Y15" s="2209"/>
      <c r="Z15" s="2221"/>
      <c r="AA15" s="2222"/>
    </row>
    <row r="16" spans="1:27" ht="17.25" customHeight="1">
      <c r="A16" s="2238"/>
      <c r="B16" s="2241"/>
      <c r="C16" s="2242"/>
      <c r="D16" s="2242"/>
      <c r="E16" s="2242"/>
      <c r="F16" s="2242"/>
      <c r="G16" s="2242"/>
      <c r="H16" s="2242"/>
      <c r="I16" s="2243"/>
      <c r="J16" s="2203"/>
      <c r="K16" s="2203"/>
      <c r="L16" s="2206"/>
      <c r="M16" s="2234"/>
      <c r="N16" s="2236"/>
      <c r="O16" s="2236"/>
      <c r="P16" s="2201"/>
      <c r="Q16" s="2201"/>
      <c r="R16" s="2209"/>
      <c r="S16" s="2209"/>
      <c r="T16" s="2209"/>
      <c r="U16" s="2209"/>
      <c r="V16" s="2209"/>
      <c r="W16" s="2209"/>
      <c r="X16" s="2209"/>
      <c r="Y16" s="2209"/>
      <c r="Z16" s="2221"/>
      <c r="AA16" s="2222"/>
    </row>
    <row r="17" spans="1:27" ht="10.5" customHeight="1" thickBot="1">
      <c r="A17" s="2251"/>
      <c r="B17" s="2269"/>
      <c r="C17" s="2270"/>
      <c r="D17" s="2270"/>
      <c r="E17" s="2270"/>
      <c r="F17" s="2270"/>
      <c r="G17" s="2270"/>
      <c r="H17" s="2270"/>
      <c r="I17" s="2271"/>
      <c r="J17" s="2204"/>
      <c r="K17" s="2204"/>
      <c r="L17" s="2207"/>
      <c r="M17" s="2235"/>
      <c r="N17" s="2237"/>
      <c r="O17" s="2237"/>
      <c r="P17" s="2202"/>
      <c r="Q17" s="2202"/>
      <c r="R17" s="2210"/>
      <c r="S17" s="2210"/>
      <c r="T17" s="2210"/>
      <c r="U17" s="2210"/>
      <c r="V17" s="2210"/>
      <c r="W17" s="2210"/>
      <c r="X17" s="2210"/>
      <c r="Y17" s="2210"/>
      <c r="Z17" s="2223"/>
      <c r="AA17" s="2224"/>
    </row>
    <row r="18" spans="1:27" ht="13.5" hidden="1" customHeight="1" thickTop="1">
      <c r="A18" s="2037">
        <v>1</v>
      </c>
      <c r="B18" s="2041" t="s">
        <v>101</v>
      </c>
      <c r="C18" s="2042"/>
      <c r="D18" s="2042">
        <v>801</v>
      </c>
      <c r="E18" s="2042"/>
      <c r="F18" s="2045" t="s">
        <v>141</v>
      </c>
      <c r="G18" s="2045"/>
      <c r="H18" s="2045"/>
      <c r="I18" s="2045"/>
      <c r="J18" s="2047">
        <v>2010</v>
      </c>
      <c r="K18" s="2047">
        <v>2012</v>
      </c>
      <c r="L18" s="2051">
        <f>SUM(N18,L24)</f>
        <v>0</v>
      </c>
      <c r="M18" s="2053" t="s">
        <v>120</v>
      </c>
      <c r="N18" s="2055">
        <f>SUM(N22:N29)</f>
        <v>0</v>
      </c>
      <c r="O18" s="2057" t="s">
        <v>112</v>
      </c>
      <c r="P18" s="2059">
        <f>SUM(P22:P29)</f>
        <v>0</v>
      </c>
      <c r="Q18" s="2059">
        <f>SUM(Q22:Q29)</f>
        <v>0</v>
      </c>
      <c r="R18" s="2059">
        <f>SUM(R22:R29)</f>
        <v>0</v>
      </c>
      <c r="S18" s="2059">
        <f>SUM(S22:S29)</f>
        <v>0</v>
      </c>
      <c r="T18" s="2059">
        <f t="shared" ref="T18:Y18" si="0">SUM(T22:T29)</f>
        <v>0</v>
      </c>
      <c r="U18" s="2059">
        <f t="shared" si="0"/>
        <v>0</v>
      </c>
      <c r="V18" s="2059">
        <f t="shared" si="0"/>
        <v>0</v>
      </c>
      <c r="W18" s="2059">
        <f t="shared" si="0"/>
        <v>0</v>
      </c>
      <c r="X18" s="2059">
        <f t="shared" si="0"/>
        <v>0</v>
      </c>
      <c r="Y18" s="2059">
        <f t="shared" si="0"/>
        <v>0</v>
      </c>
      <c r="Z18" s="2066">
        <f>SUM(AA22:AA29)</f>
        <v>0</v>
      </c>
      <c r="AA18" s="2067"/>
    </row>
    <row r="19" spans="1:27" ht="12.75" hidden="1" customHeight="1">
      <c r="A19" s="2038"/>
      <c r="B19" s="2043"/>
      <c r="C19" s="2044"/>
      <c r="D19" s="2044"/>
      <c r="E19" s="2044"/>
      <c r="F19" s="2046"/>
      <c r="G19" s="2046"/>
      <c r="H19" s="2046"/>
      <c r="I19" s="2046"/>
      <c r="J19" s="2048"/>
      <c r="K19" s="2048"/>
      <c r="L19" s="2052"/>
      <c r="M19" s="2054"/>
      <c r="N19" s="2056"/>
      <c r="O19" s="2058"/>
      <c r="P19" s="2060"/>
      <c r="Q19" s="2060"/>
      <c r="R19" s="2060"/>
      <c r="S19" s="2060"/>
      <c r="T19" s="2060"/>
      <c r="U19" s="2060"/>
      <c r="V19" s="2060"/>
      <c r="W19" s="2060"/>
      <c r="X19" s="2060"/>
      <c r="Y19" s="2060"/>
      <c r="Z19" s="2068"/>
      <c r="AA19" s="2069"/>
    </row>
    <row r="20" spans="1:27" ht="12.75" hidden="1" customHeight="1">
      <c r="A20" s="2038"/>
      <c r="B20" s="2072" t="s">
        <v>107</v>
      </c>
      <c r="C20" s="2058"/>
      <c r="D20" s="2058">
        <v>80195</v>
      </c>
      <c r="E20" s="2058"/>
      <c r="F20" s="2046" t="s">
        <v>130</v>
      </c>
      <c r="G20" s="2046"/>
      <c r="H20" s="2046"/>
      <c r="I20" s="2046"/>
      <c r="J20" s="2048"/>
      <c r="K20" s="2048"/>
      <c r="L20" s="2052"/>
      <c r="M20" s="2054"/>
      <c r="N20" s="2056"/>
      <c r="O20" s="2058"/>
      <c r="P20" s="2060"/>
      <c r="Q20" s="2060"/>
      <c r="R20" s="2060"/>
      <c r="S20" s="2060"/>
      <c r="T20" s="2060"/>
      <c r="U20" s="2060"/>
      <c r="V20" s="2060"/>
      <c r="W20" s="2060"/>
      <c r="X20" s="2060"/>
      <c r="Y20" s="2060"/>
      <c r="Z20" s="2068"/>
      <c r="AA20" s="2069"/>
    </row>
    <row r="21" spans="1:27" ht="12.75" hidden="1" customHeight="1">
      <c r="A21" s="2038"/>
      <c r="B21" s="2073"/>
      <c r="C21" s="2074"/>
      <c r="D21" s="2074"/>
      <c r="E21" s="2074"/>
      <c r="F21" s="2075"/>
      <c r="G21" s="2075"/>
      <c r="H21" s="2075"/>
      <c r="I21" s="2075"/>
      <c r="J21" s="2048"/>
      <c r="K21" s="2048"/>
      <c r="L21" s="2052"/>
      <c r="M21" s="2054"/>
      <c r="N21" s="2056"/>
      <c r="O21" s="2058"/>
      <c r="P21" s="2060"/>
      <c r="Q21" s="2060"/>
      <c r="R21" s="2060"/>
      <c r="S21" s="2060"/>
      <c r="T21" s="2060"/>
      <c r="U21" s="2060"/>
      <c r="V21" s="2060"/>
      <c r="W21" s="2060"/>
      <c r="X21" s="2060"/>
      <c r="Y21" s="2060"/>
      <c r="Z21" s="2070"/>
      <c r="AA21" s="2071"/>
    </row>
    <row r="22" spans="1:27" ht="12.75" hidden="1" customHeight="1">
      <c r="A22" s="2039"/>
      <c r="B22" s="2039" t="s">
        <v>142</v>
      </c>
      <c r="C22" s="2211"/>
      <c r="D22" s="2211"/>
      <c r="E22" s="2211"/>
      <c r="F22" s="2211"/>
      <c r="G22" s="2211"/>
      <c r="H22" s="2211"/>
      <c r="I22" s="2212"/>
      <c r="J22" s="2049"/>
      <c r="K22" s="2048"/>
      <c r="L22" s="2052"/>
      <c r="M22" s="2034" t="s">
        <v>143</v>
      </c>
      <c r="N22" s="2130">
        <f>SUM(P22:Y29)</f>
        <v>0</v>
      </c>
      <c r="O22" s="2058" t="s">
        <v>112</v>
      </c>
      <c r="P22" s="2135">
        <v>0</v>
      </c>
      <c r="Q22" s="2135">
        <v>0</v>
      </c>
      <c r="R22" s="2135">
        <v>0</v>
      </c>
      <c r="S22" s="2135">
        <v>0</v>
      </c>
      <c r="T22" s="2135">
        <v>0</v>
      </c>
      <c r="U22" s="2135">
        <v>0</v>
      </c>
      <c r="V22" s="2135">
        <v>0</v>
      </c>
      <c r="W22" s="2135">
        <v>0</v>
      </c>
      <c r="X22" s="2135">
        <v>0</v>
      </c>
      <c r="Y22" s="2135">
        <v>0</v>
      </c>
      <c r="Z22" s="2183" t="s">
        <v>145</v>
      </c>
      <c r="AA22" s="2093">
        <v>0</v>
      </c>
    </row>
    <row r="23" spans="1:27" ht="12.75" hidden="1" customHeight="1">
      <c r="A23" s="2039"/>
      <c r="B23" s="2213"/>
      <c r="C23" s="2214"/>
      <c r="D23" s="2214"/>
      <c r="E23" s="2214"/>
      <c r="F23" s="2214"/>
      <c r="G23" s="2214"/>
      <c r="H23" s="2214"/>
      <c r="I23" s="2215"/>
      <c r="J23" s="2049"/>
      <c r="K23" s="2048"/>
      <c r="L23" s="2052"/>
      <c r="M23" s="2035"/>
      <c r="N23" s="2131"/>
      <c r="O23" s="2058"/>
      <c r="P23" s="2136"/>
      <c r="Q23" s="2136"/>
      <c r="R23" s="2136"/>
      <c r="S23" s="2136"/>
      <c r="T23" s="2136"/>
      <c r="U23" s="2136"/>
      <c r="V23" s="2136"/>
      <c r="W23" s="2136"/>
      <c r="X23" s="2136"/>
      <c r="Y23" s="2136"/>
      <c r="Z23" s="2178"/>
      <c r="AA23" s="2062"/>
    </row>
    <row r="24" spans="1:27" ht="12.75" hidden="1" customHeight="1">
      <c r="A24" s="2039"/>
      <c r="B24" s="2213"/>
      <c r="C24" s="2214"/>
      <c r="D24" s="2214"/>
      <c r="E24" s="2214"/>
      <c r="F24" s="2214"/>
      <c r="G24" s="2214"/>
      <c r="H24" s="2214"/>
      <c r="I24" s="2215"/>
      <c r="J24" s="2049"/>
      <c r="K24" s="2048"/>
      <c r="L24" s="2089">
        <v>0</v>
      </c>
      <c r="M24" s="2035"/>
      <c r="N24" s="2131"/>
      <c r="O24" s="2058"/>
      <c r="P24" s="2136"/>
      <c r="Q24" s="2136"/>
      <c r="R24" s="2136"/>
      <c r="S24" s="2136"/>
      <c r="T24" s="2136"/>
      <c r="U24" s="2136"/>
      <c r="V24" s="2136"/>
      <c r="W24" s="2136"/>
      <c r="X24" s="2136"/>
      <c r="Y24" s="2136"/>
      <c r="Z24" s="2178" t="s">
        <v>154</v>
      </c>
      <c r="AA24" s="2062">
        <f>P18</f>
        <v>0</v>
      </c>
    </row>
    <row r="25" spans="1:27" ht="12.75" hidden="1" customHeight="1">
      <c r="A25" s="2039"/>
      <c r="B25" s="2216"/>
      <c r="C25" s="2217"/>
      <c r="D25" s="2217"/>
      <c r="E25" s="2217"/>
      <c r="F25" s="2217"/>
      <c r="G25" s="2217"/>
      <c r="H25" s="2217"/>
      <c r="I25" s="2218"/>
      <c r="J25" s="2049"/>
      <c r="K25" s="2048"/>
      <c r="L25" s="2089"/>
      <c r="M25" s="2035"/>
      <c r="N25" s="2131"/>
      <c r="O25" s="2058"/>
      <c r="P25" s="2136"/>
      <c r="Q25" s="2136"/>
      <c r="R25" s="2136"/>
      <c r="S25" s="2136"/>
      <c r="T25" s="2136"/>
      <c r="U25" s="2136"/>
      <c r="V25" s="2136"/>
      <c r="W25" s="2136"/>
      <c r="X25" s="2136"/>
      <c r="Y25" s="2136"/>
      <c r="Z25" s="2178"/>
      <c r="AA25" s="2062"/>
    </row>
    <row r="26" spans="1:27" ht="12.75" hidden="1" customHeight="1">
      <c r="A26" s="2039"/>
      <c r="B26" s="2028" t="s">
        <v>146</v>
      </c>
      <c r="C26" s="2029"/>
      <c r="D26" s="2029"/>
      <c r="E26" s="2029"/>
      <c r="F26" s="2029"/>
      <c r="G26" s="2029"/>
      <c r="H26" s="2029"/>
      <c r="I26" s="2030"/>
      <c r="J26" s="2048"/>
      <c r="K26" s="2048"/>
      <c r="L26" s="2089"/>
      <c r="M26" s="2035"/>
      <c r="N26" s="2131"/>
      <c r="O26" s="2058"/>
      <c r="P26" s="2136"/>
      <c r="Q26" s="2136"/>
      <c r="R26" s="2136"/>
      <c r="S26" s="2136"/>
      <c r="T26" s="2136"/>
      <c r="U26" s="2136"/>
      <c r="V26" s="2136"/>
      <c r="W26" s="2136"/>
      <c r="X26" s="2136"/>
      <c r="Y26" s="2136"/>
      <c r="Z26" s="2179"/>
      <c r="AA26" s="2181">
        <f>Q18</f>
        <v>0</v>
      </c>
    </row>
    <row r="27" spans="1:27" ht="12.75" hidden="1" customHeight="1">
      <c r="A27" s="2039"/>
      <c r="B27" s="2028"/>
      <c r="C27" s="2029"/>
      <c r="D27" s="2029"/>
      <c r="E27" s="2029"/>
      <c r="F27" s="2029"/>
      <c r="G27" s="2029"/>
      <c r="H27" s="2029"/>
      <c r="I27" s="2030"/>
      <c r="J27" s="2048"/>
      <c r="K27" s="2048"/>
      <c r="L27" s="2089"/>
      <c r="M27" s="2035"/>
      <c r="N27" s="2131"/>
      <c r="O27" s="2058"/>
      <c r="P27" s="2136"/>
      <c r="Q27" s="2136"/>
      <c r="R27" s="2136"/>
      <c r="S27" s="2136"/>
      <c r="T27" s="2136"/>
      <c r="U27" s="2136"/>
      <c r="V27" s="2136"/>
      <c r="W27" s="2136"/>
      <c r="X27" s="2136"/>
      <c r="Y27" s="2136"/>
      <c r="Z27" s="2179"/>
      <c r="AA27" s="2181"/>
    </row>
    <row r="28" spans="1:27" ht="12.75" hidden="1" customHeight="1">
      <c r="A28" s="2039"/>
      <c r="B28" s="2028"/>
      <c r="C28" s="2029"/>
      <c r="D28" s="2029"/>
      <c r="E28" s="2029"/>
      <c r="F28" s="2029"/>
      <c r="G28" s="2029"/>
      <c r="H28" s="2029"/>
      <c r="I28" s="2030"/>
      <c r="J28" s="2048"/>
      <c r="K28" s="2048"/>
      <c r="L28" s="2089"/>
      <c r="M28" s="2035"/>
      <c r="N28" s="2131"/>
      <c r="O28" s="2058"/>
      <c r="P28" s="2136"/>
      <c r="Q28" s="2136"/>
      <c r="R28" s="2136"/>
      <c r="S28" s="2136"/>
      <c r="T28" s="2136"/>
      <c r="U28" s="2136"/>
      <c r="V28" s="2136"/>
      <c r="W28" s="2136"/>
      <c r="X28" s="2136"/>
      <c r="Y28" s="2136"/>
      <c r="Z28" s="2179"/>
      <c r="AA28" s="2181">
        <f>R18</f>
        <v>0</v>
      </c>
    </row>
    <row r="29" spans="1:27" ht="4.5" hidden="1" customHeight="1" thickBot="1">
      <c r="A29" s="2040"/>
      <c r="B29" s="2031"/>
      <c r="C29" s="2032"/>
      <c r="D29" s="2032"/>
      <c r="E29" s="2032"/>
      <c r="F29" s="2032"/>
      <c r="G29" s="2032"/>
      <c r="H29" s="2032"/>
      <c r="I29" s="2033"/>
      <c r="J29" s="2050"/>
      <c r="K29" s="2050"/>
      <c r="L29" s="2090"/>
      <c r="M29" s="2036"/>
      <c r="N29" s="2138"/>
      <c r="O29" s="2091"/>
      <c r="P29" s="2137"/>
      <c r="Q29" s="2137"/>
      <c r="R29" s="2137"/>
      <c r="S29" s="2137"/>
      <c r="T29" s="2137"/>
      <c r="U29" s="2137"/>
      <c r="V29" s="2137"/>
      <c r="W29" s="2137"/>
      <c r="X29" s="2137"/>
      <c r="Y29" s="2137"/>
      <c r="Z29" s="2180"/>
      <c r="AA29" s="2182"/>
    </row>
    <row r="30" spans="1:27" ht="12" hidden="1" customHeight="1" thickTop="1" thickBot="1">
      <c r="A30" s="635"/>
      <c r="B30" s="641"/>
      <c r="C30" s="641"/>
      <c r="D30" s="641"/>
      <c r="E30" s="641"/>
      <c r="F30" s="641"/>
      <c r="G30" s="641"/>
      <c r="H30" s="641"/>
      <c r="I30" s="641"/>
      <c r="J30" s="635"/>
      <c r="K30" s="635"/>
      <c r="L30" s="661"/>
      <c r="M30" s="822"/>
      <c r="N30" s="635"/>
      <c r="O30" s="63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34"/>
      <c r="AA30" s="633"/>
    </row>
    <row r="31" spans="1:27" ht="13.5" hidden="1" customHeight="1" thickTop="1">
      <c r="A31" s="2037">
        <v>2</v>
      </c>
      <c r="B31" s="2041" t="s">
        <v>101</v>
      </c>
      <c r="C31" s="2042"/>
      <c r="D31" s="2042">
        <v>801</v>
      </c>
      <c r="E31" s="2042"/>
      <c r="F31" s="2045" t="s">
        <v>141</v>
      </c>
      <c r="G31" s="2045"/>
      <c r="H31" s="2045"/>
      <c r="I31" s="2045"/>
      <c r="J31" s="2047">
        <v>2010</v>
      </c>
      <c r="K31" s="2047">
        <v>2012</v>
      </c>
      <c r="L31" s="2051">
        <f>SUM(N31,L37)</f>
        <v>0</v>
      </c>
      <c r="M31" s="2053" t="s">
        <v>120</v>
      </c>
      <c r="N31" s="2055">
        <f>SUM(N35:N42)</f>
        <v>0</v>
      </c>
      <c r="O31" s="2057" t="s">
        <v>112</v>
      </c>
      <c r="P31" s="2059">
        <f>SUM(P35:P42)</f>
        <v>0</v>
      </c>
      <c r="Q31" s="2059">
        <f>SUM(Q35:Q42)</f>
        <v>0</v>
      </c>
      <c r="R31" s="2059">
        <f>SUM(R35:R42)</f>
        <v>0</v>
      </c>
      <c r="S31" s="2059">
        <f t="shared" ref="S31:Y31" si="1">SUM(S35:S42)</f>
        <v>0</v>
      </c>
      <c r="T31" s="2059">
        <f t="shared" si="1"/>
        <v>0</v>
      </c>
      <c r="U31" s="2059">
        <f t="shared" si="1"/>
        <v>0</v>
      </c>
      <c r="V31" s="2059">
        <f t="shared" si="1"/>
        <v>0</v>
      </c>
      <c r="W31" s="2059">
        <f t="shared" si="1"/>
        <v>0</v>
      </c>
      <c r="X31" s="2059">
        <f t="shared" si="1"/>
        <v>0</v>
      </c>
      <c r="Y31" s="2059">
        <f t="shared" si="1"/>
        <v>0</v>
      </c>
      <c r="Z31" s="2066">
        <f>SUM(AA35:AA42)</f>
        <v>0</v>
      </c>
      <c r="AA31" s="2067"/>
    </row>
    <row r="32" spans="1:27" ht="12.75" hidden="1" customHeight="1">
      <c r="A32" s="2038"/>
      <c r="B32" s="2043"/>
      <c r="C32" s="2044"/>
      <c r="D32" s="2044"/>
      <c r="E32" s="2044"/>
      <c r="F32" s="2046"/>
      <c r="G32" s="2046"/>
      <c r="H32" s="2046"/>
      <c r="I32" s="2046"/>
      <c r="J32" s="2048"/>
      <c r="K32" s="2048"/>
      <c r="L32" s="2052"/>
      <c r="M32" s="2054"/>
      <c r="N32" s="2056"/>
      <c r="O32" s="2058"/>
      <c r="P32" s="2060"/>
      <c r="Q32" s="2060"/>
      <c r="R32" s="2060"/>
      <c r="S32" s="2060"/>
      <c r="T32" s="2060"/>
      <c r="U32" s="2060"/>
      <c r="V32" s="2060"/>
      <c r="W32" s="2060"/>
      <c r="X32" s="2060"/>
      <c r="Y32" s="2060"/>
      <c r="Z32" s="2068"/>
      <c r="AA32" s="2069"/>
    </row>
    <row r="33" spans="1:27" ht="12.75" hidden="1" customHeight="1">
      <c r="A33" s="2038"/>
      <c r="B33" s="2072" t="s">
        <v>107</v>
      </c>
      <c r="C33" s="2058"/>
      <c r="D33" s="2058">
        <v>80195</v>
      </c>
      <c r="E33" s="2058"/>
      <c r="F33" s="2046" t="s">
        <v>130</v>
      </c>
      <c r="G33" s="2046"/>
      <c r="H33" s="2046"/>
      <c r="I33" s="2046"/>
      <c r="J33" s="2048"/>
      <c r="K33" s="2048"/>
      <c r="L33" s="2052"/>
      <c r="M33" s="2054"/>
      <c r="N33" s="2056"/>
      <c r="O33" s="2058"/>
      <c r="P33" s="2060"/>
      <c r="Q33" s="2060"/>
      <c r="R33" s="2060"/>
      <c r="S33" s="2060"/>
      <c r="T33" s="2060"/>
      <c r="U33" s="2060"/>
      <c r="V33" s="2060"/>
      <c r="W33" s="2060"/>
      <c r="X33" s="2060"/>
      <c r="Y33" s="2060"/>
      <c r="Z33" s="2068"/>
      <c r="AA33" s="2069"/>
    </row>
    <row r="34" spans="1:27" ht="12.75" hidden="1" customHeight="1">
      <c r="A34" s="2038"/>
      <c r="B34" s="2073"/>
      <c r="C34" s="2074"/>
      <c r="D34" s="2074"/>
      <c r="E34" s="2074"/>
      <c r="F34" s="2075"/>
      <c r="G34" s="2075"/>
      <c r="H34" s="2075"/>
      <c r="I34" s="2075"/>
      <c r="J34" s="2048"/>
      <c r="K34" s="2048"/>
      <c r="L34" s="2052"/>
      <c r="M34" s="2054"/>
      <c r="N34" s="2056"/>
      <c r="O34" s="2058"/>
      <c r="P34" s="2060"/>
      <c r="Q34" s="2060"/>
      <c r="R34" s="2060"/>
      <c r="S34" s="2060"/>
      <c r="T34" s="2060"/>
      <c r="U34" s="2060"/>
      <c r="V34" s="2060"/>
      <c r="W34" s="2060"/>
      <c r="X34" s="2060"/>
      <c r="Y34" s="2060"/>
      <c r="Z34" s="2070"/>
      <c r="AA34" s="2071"/>
    </row>
    <row r="35" spans="1:27" ht="12.75" hidden="1" customHeight="1">
      <c r="A35" s="2039"/>
      <c r="B35" s="2039" t="s">
        <v>147</v>
      </c>
      <c r="C35" s="2211"/>
      <c r="D35" s="2211"/>
      <c r="E35" s="2211"/>
      <c r="F35" s="2211"/>
      <c r="G35" s="2211"/>
      <c r="H35" s="2211"/>
      <c r="I35" s="2212"/>
      <c r="J35" s="2049"/>
      <c r="K35" s="2048"/>
      <c r="L35" s="2052"/>
      <c r="M35" s="2085" t="s">
        <v>143</v>
      </c>
      <c r="N35" s="2086">
        <f>SUM(P35:Y38)</f>
        <v>0</v>
      </c>
      <c r="O35" s="2058" t="s">
        <v>112</v>
      </c>
      <c r="P35" s="2087">
        <v>0</v>
      </c>
      <c r="Q35" s="2087">
        <v>0</v>
      </c>
      <c r="R35" s="2087">
        <v>0</v>
      </c>
      <c r="S35" s="2087">
        <v>0</v>
      </c>
      <c r="T35" s="2087">
        <v>0</v>
      </c>
      <c r="U35" s="2087">
        <v>0</v>
      </c>
      <c r="V35" s="2087">
        <v>0</v>
      </c>
      <c r="W35" s="2087">
        <v>0</v>
      </c>
      <c r="X35" s="2087">
        <v>0</v>
      </c>
      <c r="Y35" s="2087">
        <v>0</v>
      </c>
      <c r="Z35" s="2183" t="s">
        <v>145</v>
      </c>
      <c r="AA35" s="2093">
        <v>0</v>
      </c>
    </row>
    <row r="36" spans="1:27" ht="12.75" hidden="1" customHeight="1">
      <c r="A36" s="2039"/>
      <c r="B36" s="2213"/>
      <c r="C36" s="2214"/>
      <c r="D36" s="2214"/>
      <c r="E36" s="2214"/>
      <c r="F36" s="2214"/>
      <c r="G36" s="2214"/>
      <c r="H36" s="2214"/>
      <c r="I36" s="2215"/>
      <c r="J36" s="2049"/>
      <c r="K36" s="2048"/>
      <c r="L36" s="2052"/>
      <c r="M36" s="2085"/>
      <c r="N36" s="2058"/>
      <c r="O36" s="2058"/>
      <c r="P36" s="2087"/>
      <c r="Q36" s="2087"/>
      <c r="R36" s="2087"/>
      <c r="S36" s="2087"/>
      <c r="T36" s="2087"/>
      <c r="U36" s="2087"/>
      <c r="V36" s="2087"/>
      <c r="W36" s="2087"/>
      <c r="X36" s="2087"/>
      <c r="Y36" s="2087"/>
      <c r="Z36" s="2178"/>
      <c r="AA36" s="2062"/>
    </row>
    <row r="37" spans="1:27" ht="12.75" hidden="1" customHeight="1">
      <c r="A37" s="2039"/>
      <c r="B37" s="2213"/>
      <c r="C37" s="2214"/>
      <c r="D37" s="2214"/>
      <c r="E37" s="2214"/>
      <c r="F37" s="2214"/>
      <c r="G37" s="2214"/>
      <c r="H37" s="2214"/>
      <c r="I37" s="2215"/>
      <c r="J37" s="2049"/>
      <c r="K37" s="2048"/>
      <c r="L37" s="2089">
        <v>0</v>
      </c>
      <c r="M37" s="2085"/>
      <c r="N37" s="2058"/>
      <c r="O37" s="2058"/>
      <c r="P37" s="2087"/>
      <c r="Q37" s="2087"/>
      <c r="R37" s="2087"/>
      <c r="S37" s="2087"/>
      <c r="T37" s="2087"/>
      <c r="U37" s="2087"/>
      <c r="V37" s="2087"/>
      <c r="W37" s="2087"/>
      <c r="X37" s="2087"/>
      <c r="Y37" s="2087"/>
      <c r="Z37" s="2178" t="s">
        <v>154</v>
      </c>
      <c r="AA37" s="2062">
        <f>P31</f>
        <v>0</v>
      </c>
    </row>
    <row r="38" spans="1:27" ht="5.25" hidden="1" customHeight="1">
      <c r="A38" s="2039"/>
      <c r="B38" s="2216"/>
      <c r="C38" s="2217"/>
      <c r="D38" s="2217"/>
      <c r="E38" s="2217"/>
      <c r="F38" s="2217"/>
      <c r="G38" s="2217"/>
      <c r="H38" s="2217"/>
      <c r="I38" s="2218"/>
      <c r="J38" s="2049"/>
      <c r="K38" s="2048"/>
      <c r="L38" s="2089"/>
      <c r="M38" s="2085"/>
      <c r="N38" s="2058"/>
      <c r="O38" s="2058"/>
      <c r="P38" s="2087"/>
      <c r="Q38" s="2087"/>
      <c r="R38" s="2087"/>
      <c r="S38" s="2087"/>
      <c r="T38" s="2087"/>
      <c r="U38" s="2087"/>
      <c r="V38" s="2087"/>
      <c r="W38" s="2087"/>
      <c r="X38" s="2087"/>
      <c r="Y38" s="2087"/>
      <c r="Z38" s="2178"/>
      <c r="AA38" s="2062"/>
    </row>
    <row r="39" spans="1:27" ht="12.75" hidden="1" customHeight="1">
      <c r="A39" s="2039"/>
      <c r="B39" s="2028" t="s">
        <v>148</v>
      </c>
      <c r="C39" s="2029"/>
      <c r="D39" s="2029"/>
      <c r="E39" s="2029"/>
      <c r="F39" s="2029"/>
      <c r="G39" s="2029"/>
      <c r="H39" s="2029"/>
      <c r="I39" s="2030"/>
      <c r="J39" s="2048"/>
      <c r="K39" s="2048"/>
      <c r="L39" s="2089"/>
      <c r="M39" s="2034" t="s">
        <v>376</v>
      </c>
      <c r="N39" s="2086">
        <f>SUM(P39:Y42)</f>
        <v>0</v>
      </c>
      <c r="O39" s="2058" t="s">
        <v>112</v>
      </c>
      <c r="P39" s="2087">
        <v>0</v>
      </c>
      <c r="Q39" s="2087">
        <v>0</v>
      </c>
      <c r="R39" s="2135">
        <v>0</v>
      </c>
      <c r="S39" s="2135">
        <v>0</v>
      </c>
      <c r="T39" s="2135">
        <v>0</v>
      </c>
      <c r="U39" s="2135">
        <v>0</v>
      </c>
      <c r="V39" s="2135">
        <v>0</v>
      </c>
      <c r="W39" s="2135">
        <v>0</v>
      </c>
      <c r="X39" s="2135">
        <v>0</v>
      </c>
      <c r="Y39" s="2135">
        <v>0</v>
      </c>
      <c r="Z39" s="2178"/>
      <c r="AA39" s="2181">
        <f>Q31</f>
        <v>0</v>
      </c>
    </row>
    <row r="40" spans="1:27" ht="18.75" hidden="1" customHeight="1">
      <c r="A40" s="2039"/>
      <c r="B40" s="2028"/>
      <c r="C40" s="2029"/>
      <c r="D40" s="2029"/>
      <c r="E40" s="2029"/>
      <c r="F40" s="2029"/>
      <c r="G40" s="2029"/>
      <c r="H40" s="2029"/>
      <c r="I40" s="2030"/>
      <c r="J40" s="2048"/>
      <c r="K40" s="2048"/>
      <c r="L40" s="2089"/>
      <c r="M40" s="2035"/>
      <c r="N40" s="2058"/>
      <c r="O40" s="2058"/>
      <c r="P40" s="2087"/>
      <c r="Q40" s="2087"/>
      <c r="R40" s="2136"/>
      <c r="S40" s="2136"/>
      <c r="T40" s="2136"/>
      <c r="U40" s="2136"/>
      <c r="V40" s="2136"/>
      <c r="W40" s="2136"/>
      <c r="X40" s="2136"/>
      <c r="Y40" s="2136"/>
      <c r="Z40" s="2178"/>
      <c r="AA40" s="2181"/>
    </row>
    <row r="41" spans="1:27" ht="7.5" hidden="1" customHeight="1">
      <c r="A41" s="2039"/>
      <c r="B41" s="2028"/>
      <c r="C41" s="2029"/>
      <c r="D41" s="2029"/>
      <c r="E41" s="2029"/>
      <c r="F41" s="2029"/>
      <c r="G41" s="2029"/>
      <c r="H41" s="2029"/>
      <c r="I41" s="2030"/>
      <c r="J41" s="2048"/>
      <c r="K41" s="2048"/>
      <c r="L41" s="2089"/>
      <c r="M41" s="2035"/>
      <c r="N41" s="2058"/>
      <c r="O41" s="2058"/>
      <c r="P41" s="2087"/>
      <c r="Q41" s="2087"/>
      <c r="R41" s="2136"/>
      <c r="S41" s="2136"/>
      <c r="T41" s="2136"/>
      <c r="U41" s="2136"/>
      <c r="V41" s="2136"/>
      <c r="W41" s="2136"/>
      <c r="X41" s="2136"/>
      <c r="Y41" s="2136"/>
      <c r="Z41" s="2178"/>
      <c r="AA41" s="2181">
        <f>R31</f>
        <v>0</v>
      </c>
    </row>
    <row r="42" spans="1:27" ht="11.25" hidden="1" customHeight="1" thickBot="1">
      <c r="A42" s="2040"/>
      <c r="B42" s="2031"/>
      <c r="C42" s="2032"/>
      <c r="D42" s="2032"/>
      <c r="E42" s="2032"/>
      <c r="F42" s="2032"/>
      <c r="G42" s="2032"/>
      <c r="H42" s="2032"/>
      <c r="I42" s="2033"/>
      <c r="J42" s="2050"/>
      <c r="K42" s="2050"/>
      <c r="L42" s="2090"/>
      <c r="M42" s="2036"/>
      <c r="N42" s="2091"/>
      <c r="O42" s="2091"/>
      <c r="P42" s="2088"/>
      <c r="Q42" s="2088"/>
      <c r="R42" s="2137"/>
      <c r="S42" s="2137"/>
      <c r="T42" s="2137"/>
      <c r="U42" s="2137"/>
      <c r="V42" s="2137"/>
      <c r="W42" s="2137"/>
      <c r="X42" s="2137"/>
      <c r="Y42" s="2137"/>
      <c r="Z42" s="2198"/>
      <c r="AA42" s="2182"/>
    </row>
    <row r="43" spans="1:27" ht="12.75" customHeight="1" thickTop="1" thickBot="1">
      <c r="A43" s="635"/>
      <c r="B43" s="641"/>
      <c r="C43" s="641"/>
      <c r="D43" s="641"/>
      <c r="E43" s="641"/>
      <c r="F43" s="641"/>
      <c r="G43" s="641"/>
      <c r="H43" s="641"/>
      <c r="I43" s="641"/>
      <c r="J43" s="639"/>
      <c r="K43" s="639"/>
      <c r="L43" s="661"/>
      <c r="M43" s="823"/>
      <c r="N43" s="639"/>
      <c r="O43" s="639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38"/>
      <c r="AA43" s="637"/>
    </row>
    <row r="44" spans="1:27" ht="15.75" customHeight="1" thickTop="1">
      <c r="A44" s="2037">
        <v>1</v>
      </c>
      <c r="B44" s="2041" t="s">
        <v>101</v>
      </c>
      <c r="C44" s="2042"/>
      <c r="D44" s="2042">
        <v>852</v>
      </c>
      <c r="E44" s="2042"/>
      <c r="F44" s="2045" t="s">
        <v>150</v>
      </c>
      <c r="G44" s="2045"/>
      <c r="H44" s="2045"/>
      <c r="I44" s="2045"/>
      <c r="J44" s="2047">
        <v>2008</v>
      </c>
      <c r="K44" s="2047">
        <v>2013</v>
      </c>
      <c r="L44" s="2185">
        <v>4422105.3600000003</v>
      </c>
      <c r="M44" s="2053" t="s">
        <v>120</v>
      </c>
      <c r="N44" s="2055">
        <f>SUM(N48:N59)</f>
        <v>764180.44000000006</v>
      </c>
      <c r="O44" s="2057" t="s">
        <v>112</v>
      </c>
      <c r="P44" s="2059">
        <f>SUM(P48:P59)</f>
        <v>764180.44000000006</v>
      </c>
      <c r="Q44" s="2059">
        <f>SUM(Q48:Q59)</f>
        <v>0</v>
      </c>
      <c r="R44" s="2059">
        <f>SUM(R48:R59)</f>
        <v>0</v>
      </c>
      <c r="S44" s="2059">
        <f t="shared" ref="S44:Y44" si="2">SUM(S48:S59)</f>
        <v>0</v>
      </c>
      <c r="T44" s="2059">
        <f t="shared" si="2"/>
        <v>0</v>
      </c>
      <c r="U44" s="2059">
        <f t="shared" si="2"/>
        <v>0</v>
      </c>
      <c r="V44" s="2059">
        <f t="shared" si="2"/>
        <v>0</v>
      </c>
      <c r="W44" s="2059">
        <f t="shared" si="2"/>
        <v>0</v>
      </c>
      <c r="X44" s="2059">
        <f t="shared" si="2"/>
        <v>0</v>
      </c>
      <c r="Y44" s="2059">
        <f t="shared" si="2"/>
        <v>0</v>
      </c>
      <c r="Z44" s="2189">
        <f>SUM(AA48:AA59)</f>
        <v>764180.44000000006</v>
      </c>
      <c r="AA44" s="2067"/>
    </row>
    <row r="45" spans="1:27">
      <c r="A45" s="2038"/>
      <c r="B45" s="2043"/>
      <c r="C45" s="2044"/>
      <c r="D45" s="2044"/>
      <c r="E45" s="2044"/>
      <c r="F45" s="2046"/>
      <c r="G45" s="2046"/>
      <c r="H45" s="2046"/>
      <c r="I45" s="2046"/>
      <c r="J45" s="2048"/>
      <c r="K45" s="2048"/>
      <c r="L45" s="2186"/>
      <c r="M45" s="2054"/>
      <c r="N45" s="2056"/>
      <c r="O45" s="2058"/>
      <c r="P45" s="2060"/>
      <c r="Q45" s="2060"/>
      <c r="R45" s="2060"/>
      <c r="S45" s="2060"/>
      <c r="T45" s="2060"/>
      <c r="U45" s="2060"/>
      <c r="V45" s="2060"/>
      <c r="W45" s="2060"/>
      <c r="X45" s="2060"/>
      <c r="Y45" s="2060"/>
      <c r="Z45" s="2190"/>
      <c r="AA45" s="2069"/>
    </row>
    <row r="46" spans="1:27">
      <c r="A46" s="2038"/>
      <c r="B46" s="2072" t="s">
        <v>107</v>
      </c>
      <c r="C46" s="2058"/>
      <c r="D46" s="2058">
        <v>85214</v>
      </c>
      <c r="E46" s="2058"/>
      <c r="F46" s="2046" t="s">
        <v>151</v>
      </c>
      <c r="G46" s="2046"/>
      <c r="H46" s="2046"/>
      <c r="I46" s="2046"/>
      <c r="J46" s="2048"/>
      <c r="K46" s="2048"/>
      <c r="L46" s="2186"/>
      <c r="M46" s="2054"/>
      <c r="N46" s="2056"/>
      <c r="O46" s="2058"/>
      <c r="P46" s="2060"/>
      <c r="Q46" s="2060"/>
      <c r="R46" s="2060"/>
      <c r="S46" s="2060"/>
      <c r="T46" s="2060"/>
      <c r="U46" s="2060"/>
      <c r="V46" s="2060"/>
      <c r="W46" s="2060"/>
      <c r="X46" s="2060"/>
      <c r="Y46" s="2060"/>
      <c r="Z46" s="2190"/>
      <c r="AA46" s="2069"/>
    </row>
    <row r="47" spans="1:27" ht="38.25" customHeight="1">
      <c r="A47" s="2038"/>
      <c r="B47" s="2073"/>
      <c r="C47" s="2074"/>
      <c r="D47" s="2074"/>
      <c r="E47" s="2074"/>
      <c r="F47" s="2075"/>
      <c r="G47" s="2075"/>
      <c r="H47" s="2075"/>
      <c r="I47" s="2075"/>
      <c r="J47" s="2048"/>
      <c r="K47" s="2048"/>
      <c r="L47" s="2186"/>
      <c r="M47" s="2054"/>
      <c r="N47" s="2056"/>
      <c r="O47" s="2058"/>
      <c r="P47" s="2060"/>
      <c r="Q47" s="2060"/>
      <c r="R47" s="2060"/>
      <c r="S47" s="2060"/>
      <c r="T47" s="2060"/>
      <c r="U47" s="2060"/>
      <c r="V47" s="2060"/>
      <c r="W47" s="2060"/>
      <c r="X47" s="2060"/>
      <c r="Y47" s="2060"/>
      <c r="Z47" s="2191"/>
      <c r="AA47" s="2071"/>
    </row>
    <row r="48" spans="1:27">
      <c r="A48" s="2039"/>
      <c r="B48" s="2072" t="s">
        <v>107</v>
      </c>
      <c r="C48" s="2058"/>
      <c r="D48" s="2058">
        <v>85295</v>
      </c>
      <c r="E48" s="2058"/>
      <c r="F48" s="2046" t="s">
        <v>130</v>
      </c>
      <c r="G48" s="2046"/>
      <c r="H48" s="2046"/>
      <c r="I48" s="2046"/>
      <c r="J48" s="2049"/>
      <c r="K48" s="2048"/>
      <c r="L48" s="2186"/>
      <c r="M48" s="2085" t="s">
        <v>350</v>
      </c>
      <c r="N48" s="2086">
        <f>SUM(P48:Y51)</f>
        <v>0</v>
      </c>
      <c r="O48" s="2058" t="s">
        <v>112</v>
      </c>
      <c r="P48" s="2087">
        <v>0</v>
      </c>
      <c r="Q48" s="2087">
        <v>0</v>
      </c>
      <c r="R48" s="2087">
        <v>0</v>
      </c>
      <c r="S48" s="2087">
        <v>0</v>
      </c>
      <c r="T48" s="2087">
        <v>0</v>
      </c>
      <c r="U48" s="2087">
        <v>0</v>
      </c>
      <c r="V48" s="2087">
        <v>0</v>
      </c>
      <c r="W48" s="2087">
        <v>0</v>
      </c>
      <c r="X48" s="2087">
        <v>0</v>
      </c>
      <c r="Y48" s="2087">
        <v>0</v>
      </c>
      <c r="Z48" s="2199"/>
      <c r="AA48" s="2093"/>
    </row>
    <row r="49" spans="1:27">
      <c r="A49" s="2039"/>
      <c r="B49" s="2072"/>
      <c r="C49" s="2058"/>
      <c r="D49" s="2074"/>
      <c r="E49" s="2074"/>
      <c r="F49" s="2075"/>
      <c r="G49" s="2075"/>
      <c r="H49" s="2075"/>
      <c r="I49" s="2075"/>
      <c r="J49" s="2049"/>
      <c r="K49" s="2048"/>
      <c r="L49" s="2186"/>
      <c r="M49" s="2085"/>
      <c r="N49" s="2086"/>
      <c r="O49" s="2058"/>
      <c r="P49" s="2087"/>
      <c r="Q49" s="2087"/>
      <c r="R49" s="2087"/>
      <c r="S49" s="2087"/>
      <c r="T49" s="2087"/>
      <c r="U49" s="2087"/>
      <c r="V49" s="2087"/>
      <c r="W49" s="2087"/>
      <c r="X49" s="2087"/>
      <c r="Y49" s="2087"/>
      <c r="Z49" s="2188"/>
      <c r="AA49" s="2062"/>
    </row>
    <row r="50" spans="1:27" ht="6" customHeight="1">
      <c r="A50" s="2039"/>
      <c r="B50" s="2076" t="s">
        <v>153</v>
      </c>
      <c r="C50" s="2077"/>
      <c r="D50" s="2077"/>
      <c r="E50" s="2077"/>
      <c r="F50" s="2077"/>
      <c r="G50" s="2077"/>
      <c r="H50" s="2077"/>
      <c r="I50" s="2078"/>
      <c r="J50" s="2049"/>
      <c r="K50" s="2048"/>
      <c r="L50" s="2186"/>
      <c r="M50" s="2085"/>
      <c r="N50" s="2086"/>
      <c r="O50" s="2058"/>
      <c r="P50" s="2087"/>
      <c r="Q50" s="2087"/>
      <c r="R50" s="2087"/>
      <c r="S50" s="2087"/>
      <c r="T50" s="2087"/>
      <c r="U50" s="2087"/>
      <c r="V50" s="2087"/>
      <c r="W50" s="2087"/>
      <c r="X50" s="2087"/>
      <c r="Y50" s="2087"/>
      <c r="Z50" s="2188" t="s">
        <v>154</v>
      </c>
      <c r="AA50" s="2062">
        <f>P44</f>
        <v>764180.44000000006</v>
      </c>
    </row>
    <row r="51" spans="1:27" ht="6.75" customHeight="1">
      <c r="A51" s="2039"/>
      <c r="B51" s="2079"/>
      <c r="C51" s="2080"/>
      <c r="D51" s="2080"/>
      <c r="E51" s="2080"/>
      <c r="F51" s="2080"/>
      <c r="G51" s="2080"/>
      <c r="H51" s="2080"/>
      <c r="I51" s="2081"/>
      <c r="J51" s="2049"/>
      <c r="K51" s="2048"/>
      <c r="L51" s="2187"/>
      <c r="M51" s="2034"/>
      <c r="N51" s="2130"/>
      <c r="O51" s="2058"/>
      <c r="P51" s="2135"/>
      <c r="Q51" s="2135"/>
      <c r="R51" s="2087"/>
      <c r="S51" s="2087"/>
      <c r="T51" s="2087"/>
      <c r="U51" s="2087"/>
      <c r="V51" s="2087"/>
      <c r="W51" s="2087"/>
      <c r="X51" s="2087"/>
      <c r="Y51" s="2087"/>
      <c r="Z51" s="2188"/>
      <c r="AA51" s="2062"/>
    </row>
    <row r="52" spans="1:27">
      <c r="A52" s="2039"/>
      <c r="B52" s="2079"/>
      <c r="C52" s="2080"/>
      <c r="D52" s="2080"/>
      <c r="E52" s="2080"/>
      <c r="F52" s="2080"/>
      <c r="G52" s="2080"/>
      <c r="H52" s="2080"/>
      <c r="I52" s="2081"/>
      <c r="J52" s="2048"/>
      <c r="K52" s="2048"/>
      <c r="L52" s="2192">
        <v>3657923.53</v>
      </c>
      <c r="M52" s="2034" t="s">
        <v>143</v>
      </c>
      <c r="N52" s="2086">
        <f>SUM(P52:Y55)</f>
        <v>746612.17</v>
      </c>
      <c r="O52" s="2058" t="s">
        <v>112</v>
      </c>
      <c r="P52" s="2135">
        <v>746612.17</v>
      </c>
      <c r="Q52" s="2135">
        <v>0</v>
      </c>
      <c r="R52" s="2087">
        <v>0</v>
      </c>
      <c r="S52" s="2087">
        <v>0</v>
      </c>
      <c r="T52" s="2087">
        <v>0</v>
      </c>
      <c r="U52" s="2087">
        <v>0</v>
      </c>
      <c r="V52" s="2087">
        <v>0</v>
      </c>
      <c r="W52" s="2087">
        <v>0</v>
      </c>
      <c r="X52" s="2087">
        <v>0</v>
      </c>
      <c r="Y52" s="2087">
        <v>0</v>
      </c>
      <c r="Z52" s="2188"/>
      <c r="AA52" s="2181">
        <f>Q44</f>
        <v>0</v>
      </c>
    </row>
    <row r="53" spans="1:27">
      <c r="A53" s="2039"/>
      <c r="B53" s="2079"/>
      <c r="C53" s="2080"/>
      <c r="D53" s="2080"/>
      <c r="E53" s="2080"/>
      <c r="F53" s="2080"/>
      <c r="G53" s="2080"/>
      <c r="H53" s="2080"/>
      <c r="I53" s="2081"/>
      <c r="J53" s="2048"/>
      <c r="K53" s="2048"/>
      <c r="L53" s="2125"/>
      <c r="M53" s="2035"/>
      <c r="N53" s="2086"/>
      <c r="O53" s="2058"/>
      <c r="P53" s="2136"/>
      <c r="Q53" s="2136"/>
      <c r="R53" s="2087"/>
      <c r="S53" s="2087"/>
      <c r="T53" s="2087"/>
      <c r="U53" s="2087"/>
      <c r="V53" s="2087"/>
      <c r="W53" s="2087"/>
      <c r="X53" s="2087"/>
      <c r="Y53" s="2087"/>
      <c r="Z53" s="2188"/>
      <c r="AA53" s="2181"/>
    </row>
    <row r="54" spans="1:27" ht="7.5" customHeight="1">
      <c r="A54" s="2039"/>
      <c r="B54" s="2079"/>
      <c r="C54" s="2080"/>
      <c r="D54" s="2080"/>
      <c r="E54" s="2080"/>
      <c r="F54" s="2080"/>
      <c r="G54" s="2080"/>
      <c r="H54" s="2080"/>
      <c r="I54" s="2081"/>
      <c r="J54" s="2048"/>
      <c r="K54" s="2048"/>
      <c r="L54" s="2125"/>
      <c r="M54" s="2035"/>
      <c r="N54" s="2086"/>
      <c r="O54" s="2058"/>
      <c r="P54" s="2136"/>
      <c r="Q54" s="2136"/>
      <c r="R54" s="2087"/>
      <c r="S54" s="2087"/>
      <c r="T54" s="2087"/>
      <c r="U54" s="2087"/>
      <c r="V54" s="2087"/>
      <c r="W54" s="2087"/>
      <c r="X54" s="2087"/>
      <c r="Y54" s="2087"/>
      <c r="Z54" s="2188"/>
      <c r="AA54" s="2181">
        <f>R44</f>
        <v>0</v>
      </c>
    </row>
    <row r="55" spans="1:27" ht="6.75" customHeight="1">
      <c r="A55" s="2039"/>
      <c r="B55" s="2082"/>
      <c r="C55" s="2083"/>
      <c r="D55" s="2083"/>
      <c r="E55" s="2083"/>
      <c r="F55" s="2083"/>
      <c r="G55" s="2083"/>
      <c r="H55" s="2083"/>
      <c r="I55" s="2084"/>
      <c r="J55" s="2048"/>
      <c r="K55" s="2048"/>
      <c r="L55" s="2125"/>
      <c r="M55" s="2194"/>
      <c r="N55" s="2130"/>
      <c r="O55" s="2058"/>
      <c r="P55" s="2184"/>
      <c r="Q55" s="2184"/>
      <c r="R55" s="2087"/>
      <c r="S55" s="2087"/>
      <c r="T55" s="2087"/>
      <c r="U55" s="2087"/>
      <c r="V55" s="2087"/>
      <c r="W55" s="2087"/>
      <c r="X55" s="2087"/>
      <c r="Y55" s="2087"/>
      <c r="Z55" s="2188"/>
      <c r="AA55" s="2181"/>
    </row>
    <row r="56" spans="1:27">
      <c r="A56" s="2039"/>
      <c r="B56" s="2028" t="s">
        <v>155</v>
      </c>
      <c r="C56" s="2029"/>
      <c r="D56" s="2029"/>
      <c r="E56" s="2029"/>
      <c r="F56" s="2029"/>
      <c r="G56" s="2029"/>
      <c r="H56" s="2029"/>
      <c r="I56" s="2030"/>
      <c r="J56" s="2048"/>
      <c r="K56" s="2048"/>
      <c r="L56" s="2125"/>
      <c r="M56" s="2034" t="s">
        <v>375</v>
      </c>
      <c r="N56" s="2086">
        <f>SUM(P56:Y59)</f>
        <v>17568.27</v>
      </c>
      <c r="O56" s="2058" t="s">
        <v>112</v>
      </c>
      <c r="P56" s="2135">
        <v>17568.27</v>
      </c>
      <c r="Q56" s="2135">
        <v>0</v>
      </c>
      <c r="R56" s="2135">
        <v>0</v>
      </c>
      <c r="S56" s="2135">
        <v>0</v>
      </c>
      <c r="T56" s="2135">
        <v>0</v>
      </c>
      <c r="U56" s="2135">
        <v>0</v>
      </c>
      <c r="V56" s="2135">
        <v>0</v>
      </c>
      <c r="W56" s="2135">
        <v>0</v>
      </c>
      <c r="X56" s="2135">
        <v>0</v>
      </c>
      <c r="Y56" s="2135">
        <v>0</v>
      </c>
      <c r="Z56" s="2188"/>
      <c r="AA56" s="2062"/>
    </row>
    <row r="57" spans="1:27">
      <c r="A57" s="2039"/>
      <c r="B57" s="2028"/>
      <c r="C57" s="2029"/>
      <c r="D57" s="2029"/>
      <c r="E57" s="2029"/>
      <c r="F57" s="2029"/>
      <c r="G57" s="2029"/>
      <c r="H57" s="2029"/>
      <c r="I57" s="2030"/>
      <c r="J57" s="2048"/>
      <c r="K57" s="2048"/>
      <c r="L57" s="2125"/>
      <c r="M57" s="2035"/>
      <c r="N57" s="2086"/>
      <c r="O57" s="2058"/>
      <c r="P57" s="2136"/>
      <c r="Q57" s="2136"/>
      <c r="R57" s="2136"/>
      <c r="S57" s="2136"/>
      <c r="T57" s="2136"/>
      <c r="U57" s="2136"/>
      <c r="V57" s="2136"/>
      <c r="W57" s="2136"/>
      <c r="X57" s="2136"/>
      <c r="Y57" s="2136"/>
      <c r="Z57" s="2188"/>
      <c r="AA57" s="2062"/>
    </row>
    <row r="58" spans="1:27" ht="7.5" customHeight="1">
      <c r="A58" s="2039"/>
      <c r="B58" s="2028"/>
      <c r="C58" s="2029"/>
      <c r="D58" s="2029"/>
      <c r="E58" s="2029"/>
      <c r="F58" s="2029"/>
      <c r="G58" s="2029"/>
      <c r="H58" s="2029"/>
      <c r="I58" s="2030"/>
      <c r="J58" s="2048"/>
      <c r="K58" s="2048"/>
      <c r="L58" s="2125"/>
      <c r="M58" s="2035"/>
      <c r="N58" s="2086"/>
      <c r="O58" s="2058"/>
      <c r="P58" s="2136"/>
      <c r="Q58" s="2136"/>
      <c r="R58" s="2136"/>
      <c r="S58" s="2136"/>
      <c r="T58" s="2136"/>
      <c r="U58" s="2136"/>
      <c r="V58" s="2136"/>
      <c r="W58" s="2136"/>
      <c r="X58" s="2136"/>
      <c r="Y58" s="2136"/>
      <c r="Z58" s="2188"/>
      <c r="AA58" s="2062"/>
    </row>
    <row r="59" spans="1:27" ht="16.5" customHeight="1" thickBot="1">
      <c r="A59" s="2040"/>
      <c r="B59" s="2031"/>
      <c r="C59" s="2032"/>
      <c r="D59" s="2032"/>
      <c r="E59" s="2032"/>
      <c r="F59" s="2032"/>
      <c r="G59" s="2032"/>
      <c r="H59" s="2032"/>
      <c r="I59" s="2033"/>
      <c r="J59" s="2050"/>
      <c r="K59" s="2050"/>
      <c r="L59" s="2193"/>
      <c r="M59" s="2036"/>
      <c r="N59" s="2197"/>
      <c r="O59" s="2091"/>
      <c r="P59" s="2137"/>
      <c r="Q59" s="2137"/>
      <c r="R59" s="2137"/>
      <c r="S59" s="2137"/>
      <c r="T59" s="2137"/>
      <c r="U59" s="2137"/>
      <c r="V59" s="2137"/>
      <c r="W59" s="2137"/>
      <c r="X59" s="2137"/>
      <c r="Y59" s="2137"/>
      <c r="Z59" s="2195"/>
      <c r="AA59" s="2196"/>
    </row>
    <row r="60" spans="1:27" ht="12.75" customHeight="1" thickTop="1" thickBot="1">
      <c r="A60" s="635"/>
      <c r="B60" s="641"/>
      <c r="C60" s="641"/>
      <c r="D60" s="641"/>
      <c r="E60" s="641"/>
      <c r="F60" s="641"/>
      <c r="G60" s="641"/>
      <c r="H60" s="641"/>
      <c r="I60" s="641"/>
      <c r="J60" s="639"/>
      <c r="K60" s="639"/>
      <c r="L60" s="662"/>
      <c r="M60" s="824"/>
      <c r="N60" s="638"/>
      <c r="O60" s="639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43"/>
      <c r="AA60" s="642"/>
    </row>
    <row r="61" spans="1:27" ht="13.5" thickTop="1">
      <c r="A61" s="2037">
        <v>2</v>
      </c>
      <c r="B61" s="2041" t="s">
        <v>101</v>
      </c>
      <c r="C61" s="2042"/>
      <c r="D61" s="2042">
        <v>801</v>
      </c>
      <c r="E61" s="2042"/>
      <c r="F61" s="2045" t="s">
        <v>141</v>
      </c>
      <c r="G61" s="2045"/>
      <c r="H61" s="2045"/>
      <c r="I61" s="2045"/>
      <c r="J61" s="2047">
        <v>2011</v>
      </c>
      <c r="K61" s="2047">
        <v>2013</v>
      </c>
      <c r="L61" s="2051">
        <v>592916</v>
      </c>
      <c r="M61" s="2053" t="s">
        <v>120</v>
      </c>
      <c r="N61" s="2055">
        <f>SUM(N65:N72)</f>
        <v>117672</v>
      </c>
      <c r="O61" s="2057" t="s">
        <v>112</v>
      </c>
      <c r="P61" s="2059">
        <f>SUM(P65:P72)</f>
        <v>117672</v>
      </c>
      <c r="Q61" s="2059">
        <f>SUM(Q65:Q72)</f>
        <v>0</v>
      </c>
      <c r="R61" s="2059">
        <f>SUM(R65:R72)</f>
        <v>0</v>
      </c>
      <c r="S61" s="2059">
        <f t="shared" ref="S61:Y61" si="3">SUM(S65:S72)</f>
        <v>0</v>
      </c>
      <c r="T61" s="2059">
        <f t="shared" si="3"/>
        <v>0</v>
      </c>
      <c r="U61" s="2059">
        <f t="shared" si="3"/>
        <v>0</v>
      </c>
      <c r="V61" s="2059">
        <f t="shared" si="3"/>
        <v>0</v>
      </c>
      <c r="W61" s="2059">
        <f t="shared" si="3"/>
        <v>0</v>
      </c>
      <c r="X61" s="2059">
        <f t="shared" si="3"/>
        <v>0</v>
      </c>
      <c r="Y61" s="2059">
        <f t="shared" si="3"/>
        <v>0</v>
      </c>
      <c r="Z61" s="2066">
        <f>SUM(AA65:AA72)</f>
        <v>117672</v>
      </c>
      <c r="AA61" s="2067"/>
    </row>
    <row r="62" spans="1:27" ht="17.25" customHeight="1">
      <c r="A62" s="2038"/>
      <c r="B62" s="2043"/>
      <c r="C62" s="2044"/>
      <c r="D62" s="2044"/>
      <c r="E62" s="2044"/>
      <c r="F62" s="2046"/>
      <c r="G62" s="2046"/>
      <c r="H62" s="2046"/>
      <c r="I62" s="2046"/>
      <c r="J62" s="2048"/>
      <c r="K62" s="2048"/>
      <c r="L62" s="2052"/>
      <c r="M62" s="2054"/>
      <c r="N62" s="2056"/>
      <c r="O62" s="2058"/>
      <c r="P62" s="2060"/>
      <c r="Q62" s="2060"/>
      <c r="R62" s="2060"/>
      <c r="S62" s="2060"/>
      <c r="T62" s="2060"/>
      <c r="U62" s="2060"/>
      <c r="V62" s="2060"/>
      <c r="W62" s="2060"/>
      <c r="X62" s="2060"/>
      <c r="Y62" s="2060"/>
      <c r="Z62" s="2068"/>
      <c r="AA62" s="2069"/>
    </row>
    <row r="63" spans="1:27" ht="12.75" customHeight="1">
      <c r="A63" s="2038"/>
      <c r="B63" s="2072" t="s">
        <v>107</v>
      </c>
      <c r="C63" s="2058"/>
      <c r="D63" s="2058">
        <v>80195</v>
      </c>
      <c r="E63" s="2058"/>
      <c r="F63" s="2046" t="s">
        <v>130</v>
      </c>
      <c r="G63" s="2046"/>
      <c r="H63" s="2046"/>
      <c r="I63" s="2046"/>
      <c r="J63" s="2048"/>
      <c r="K63" s="2048"/>
      <c r="L63" s="2052"/>
      <c r="M63" s="2054"/>
      <c r="N63" s="2056"/>
      <c r="O63" s="2058"/>
      <c r="P63" s="2060"/>
      <c r="Q63" s="2060"/>
      <c r="R63" s="2060"/>
      <c r="S63" s="2060"/>
      <c r="T63" s="2060"/>
      <c r="U63" s="2060"/>
      <c r="V63" s="2060"/>
      <c r="W63" s="2060"/>
      <c r="X63" s="2060"/>
      <c r="Y63" s="2060"/>
      <c r="Z63" s="2068"/>
      <c r="AA63" s="2069"/>
    </row>
    <row r="64" spans="1:27">
      <c r="A64" s="2038"/>
      <c r="B64" s="2073"/>
      <c r="C64" s="2074"/>
      <c r="D64" s="2074"/>
      <c r="E64" s="2074"/>
      <c r="F64" s="2075"/>
      <c r="G64" s="2075"/>
      <c r="H64" s="2075"/>
      <c r="I64" s="2075"/>
      <c r="J64" s="2048"/>
      <c r="K64" s="2048"/>
      <c r="L64" s="2052"/>
      <c r="M64" s="2054"/>
      <c r="N64" s="2056"/>
      <c r="O64" s="2058"/>
      <c r="P64" s="2060"/>
      <c r="Q64" s="2060"/>
      <c r="R64" s="2060"/>
      <c r="S64" s="2060"/>
      <c r="T64" s="2060"/>
      <c r="U64" s="2060"/>
      <c r="V64" s="2060"/>
      <c r="W64" s="2060"/>
      <c r="X64" s="2060"/>
      <c r="Y64" s="2060"/>
      <c r="Z64" s="2070"/>
      <c r="AA64" s="2071"/>
    </row>
    <row r="65" spans="1:27" ht="12.75" customHeight="1">
      <c r="A65" s="2039"/>
      <c r="B65" s="2076" t="s">
        <v>160</v>
      </c>
      <c r="C65" s="2077"/>
      <c r="D65" s="2077"/>
      <c r="E65" s="2077"/>
      <c r="F65" s="2077"/>
      <c r="G65" s="2077"/>
      <c r="H65" s="2077"/>
      <c r="I65" s="2078"/>
      <c r="J65" s="2049"/>
      <c r="K65" s="2048"/>
      <c r="L65" s="2052"/>
      <c r="M65" s="2085" t="s">
        <v>143</v>
      </c>
      <c r="N65" s="2086">
        <f>SUM(P65:Y68)</f>
        <v>100646</v>
      </c>
      <c r="O65" s="2058" t="s">
        <v>112</v>
      </c>
      <c r="P65" s="2135">
        <v>100646</v>
      </c>
      <c r="Q65" s="2087">
        <v>0</v>
      </c>
      <c r="R65" s="2087">
        <v>0</v>
      </c>
      <c r="S65" s="2087">
        <v>0</v>
      </c>
      <c r="T65" s="2087">
        <v>0</v>
      </c>
      <c r="U65" s="2087">
        <v>0</v>
      </c>
      <c r="V65" s="2087">
        <v>0</v>
      </c>
      <c r="W65" s="2087">
        <v>0</v>
      </c>
      <c r="X65" s="2087">
        <v>0</v>
      </c>
      <c r="Y65" s="2087">
        <v>0</v>
      </c>
      <c r="Z65" s="2183"/>
      <c r="AA65" s="2093"/>
    </row>
    <row r="66" spans="1:27">
      <c r="A66" s="2039"/>
      <c r="B66" s="2079"/>
      <c r="C66" s="2080"/>
      <c r="D66" s="2080"/>
      <c r="E66" s="2080"/>
      <c r="F66" s="2080"/>
      <c r="G66" s="2080"/>
      <c r="H66" s="2080"/>
      <c r="I66" s="2081"/>
      <c r="J66" s="2049"/>
      <c r="K66" s="2048"/>
      <c r="L66" s="2052"/>
      <c r="M66" s="2085"/>
      <c r="N66" s="2058"/>
      <c r="O66" s="2058"/>
      <c r="P66" s="2136"/>
      <c r="Q66" s="2087"/>
      <c r="R66" s="2087"/>
      <c r="S66" s="2087"/>
      <c r="T66" s="2087"/>
      <c r="U66" s="2087"/>
      <c r="V66" s="2087"/>
      <c r="W66" s="2087"/>
      <c r="X66" s="2087"/>
      <c r="Y66" s="2087"/>
      <c r="Z66" s="2178"/>
      <c r="AA66" s="2062"/>
    </row>
    <row r="67" spans="1:27">
      <c r="A67" s="2039"/>
      <c r="B67" s="2079"/>
      <c r="C67" s="2080"/>
      <c r="D67" s="2080"/>
      <c r="E67" s="2080"/>
      <c r="F67" s="2080"/>
      <c r="G67" s="2080"/>
      <c r="H67" s="2080"/>
      <c r="I67" s="2081"/>
      <c r="J67" s="2049"/>
      <c r="K67" s="2048"/>
      <c r="L67" s="2089">
        <v>475244</v>
      </c>
      <c r="M67" s="2085"/>
      <c r="N67" s="2058"/>
      <c r="O67" s="2058"/>
      <c r="P67" s="2136"/>
      <c r="Q67" s="2087"/>
      <c r="R67" s="2087"/>
      <c r="S67" s="2087"/>
      <c r="T67" s="2087"/>
      <c r="U67" s="2087"/>
      <c r="V67" s="2087"/>
      <c r="W67" s="2087"/>
      <c r="X67" s="2087"/>
      <c r="Y67" s="2087"/>
      <c r="Z67" s="2178" t="s">
        <v>154</v>
      </c>
      <c r="AA67" s="2062">
        <f>P61</f>
        <v>117672</v>
      </c>
    </row>
    <row r="68" spans="1:27" ht="5.25" customHeight="1">
      <c r="A68" s="2039"/>
      <c r="B68" s="2082"/>
      <c r="C68" s="2083"/>
      <c r="D68" s="2083"/>
      <c r="E68" s="2083"/>
      <c r="F68" s="2083"/>
      <c r="G68" s="2083"/>
      <c r="H68" s="2083"/>
      <c r="I68" s="2084"/>
      <c r="J68" s="2049"/>
      <c r="K68" s="2048"/>
      <c r="L68" s="2089"/>
      <c r="M68" s="2085"/>
      <c r="N68" s="2058"/>
      <c r="O68" s="2058"/>
      <c r="P68" s="2184"/>
      <c r="Q68" s="2087"/>
      <c r="R68" s="2087"/>
      <c r="S68" s="2087"/>
      <c r="T68" s="2087"/>
      <c r="U68" s="2087"/>
      <c r="V68" s="2087"/>
      <c r="W68" s="2087"/>
      <c r="X68" s="2087"/>
      <c r="Y68" s="2087"/>
      <c r="Z68" s="2178"/>
      <c r="AA68" s="2062"/>
    </row>
    <row r="69" spans="1:27" ht="12.75" customHeight="1">
      <c r="A69" s="2039"/>
      <c r="B69" s="2028" t="s">
        <v>161</v>
      </c>
      <c r="C69" s="2029"/>
      <c r="D69" s="2029"/>
      <c r="E69" s="2029"/>
      <c r="F69" s="2029"/>
      <c r="G69" s="2029"/>
      <c r="H69" s="2029"/>
      <c r="I69" s="2030"/>
      <c r="J69" s="2048"/>
      <c r="K69" s="2048"/>
      <c r="L69" s="2089"/>
      <c r="M69" s="2034" t="s">
        <v>369</v>
      </c>
      <c r="N69" s="2086">
        <f>SUM(P69:Y72)</f>
        <v>17026</v>
      </c>
      <c r="O69" s="2058" t="s">
        <v>112</v>
      </c>
      <c r="P69" s="2135">
        <v>17026</v>
      </c>
      <c r="Q69" s="2087">
        <v>0</v>
      </c>
      <c r="R69" s="2087">
        <v>0</v>
      </c>
      <c r="S69" s="2087">
        <v>0</v>
      </c>
      <c r="T69" s="2087">
        <v>0</v>
      </c>
      <c r="U69" s="2087">
        <v>0</v>
      </c>
      <c r="V69" s="2087">
        <v>0</v>
      </c>
      <c r="W69" s="2087">
        <v>0</v>
      </c>
      <c r="X69" s="2087">
        <v>0</v>
      </c>
      <c r="Y69" s="2087">
        <v>0</v>
      </c>
      <c r="Z69" s="2178"/>
      <c r="AA69" s="2181"/>
    </row>
    <row r="70" spans="1:27">
      <c r="A70" s="2039"/>
      <c r="B70" s="2028"/>
      <c r="C70" s="2029"/>
      <c r="D70" s="2029"/>
      <c r="E70" s="2029"/>
      <c r="F70" s="2029"/>
      <c r="G70" s="2029"/>
      <c r="H70" s="2029"/>
      <c r="I70" s="2030"/>
      <c r="J70" s="2048"/>
      <c r="K70" s="2048"/>
      <c r="L70" s="2089"/>
      <c r="M70" s="2035"/>
      <c r="N70" s="2058"/>
      <c r="O70" s="2058"/>
      <c r="P70" s="2136"/>
      <c r="Q70" s="2087"/>
      <c r="R70" s="2087"/>
      <c r="S70" s="2087"/>
      <c r="T70" s="2087"/>
      <c r="U70" s="2087"/>
      <c r="V70" s="2087"/>
      <c r="W70" s="2087"/>
      <c r="X70" s="2087"/>
      <c r="Y70" s="2087"/>
      <c r="Z70" s="2178"/>
      <c r="AA70" s="2181"/>
    </row>
    <row r="71" spans="1:27">
      <c r="A71" s="2039"/>
      <c r="B71" s="2028"/>
      <c r="C71" s="2029"/>
      <c r="D71" s="2029"/>
      <c r="E71" s="2029"/>
      <c r="F71" s="2029"/>
      <c r="G71" s="2029"/>
      <c r="H71" s="2029"/>
      <c r="I71" s="2030"/>
      <c r="J71" s="2048"/>
      <c r="K71" s="2048"/>
      <c r="L71" s="2089"/>
      <c r="M71" s="2035"/>
      <c r="N71" s="2058"/>
      <c r="O71" s="2058"/>
      <c r="P71" s="2136"/>
      <c r="Q71" s="2087"/>
      <c r="R71" s="2087"/>
      <c r="S71" s="2087"/>
      <c r="T71" s="2087"/>
      <c r="U71" s="2087"/>
      <c r="V71" s="2087"/>
      <c r="W71" s="2087"/>
      <c r="X71" s="2087"/>
      <c r="Y71" s="2087"/>
      <c r="Z71" s="2179"/>
      <c r="AA71" s="2181"/>
    </row>
    <row r="72" spans="1:27" ht="9" customHeight="1" thickBot="1">
      <c r="A72" s="2040"/>
      <c r="B72" s="2031"/>
      <c r="C72" s="2032"/>
      <c r="D72" s="2032"/>
      <c r="E72" s="2032"/>
      <c r="F72" s="2032"/>
      <c r="G72" s="2032"/>
      <c r="H72" s="2032"/>
      <c r="I72" s="2033"/>
      <c r="J72" s="2050"/>
      <c r="K72" s="2050"/>
      <c r="L72" s="2090"/>
      <c r="M72" s="2036"/>
      <c r="N72" s="2091"/>
      <c r="O72" s="2091"/>
      <c r="P72" s="2137"/>
      <c r="Q72" s="2088"/>
      <c r="R72" s="2088"/>
      <c r="S72" s="2088"/>
      <c r="T72" s="2088"/>
      <c r="U72" s="2088"/>
      <c r="V72" s="2088"/>
      <c r="W72" s="2088"/>
      <c r="X72" s="2088"/>
      <c r="Y72" s="2088"/>
      <c r="Z72" s="2180"/>
      <c r="AA72" s="2182"/>
    </row>
    <row r="73" spans="1:27" ht="12" customHeight="1" thickTop="1" thickBot="1">
      <c r="A73" s="635"/>
      <c r="B73" s="641"/>
      <c r="C73" s="641"/>
      <c r="D73" s="641"/>
      <c r="E73" s="641"/>
      <c r="F73" s="641"/>
      <c r="G73" s="641"/>
      <c r="H73" s="641"/>
      <c r="I73" s="641"/>
      <c r="J73" s="639"/>
      <c r="K73" s="639"/>
      <c r="L73" s="662"/>
      <c r="M73" s="824"/>
      <c r="N73" s="638"/>
      <c r="O73" s="639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43"/>
      <c r="AA73" s="642"/>
    </row>
    <row r="74" spans="1:27" s="664" customFormat="1" ht="13.5" customHeight="1" thickTop="1">
      <c r="A74" s="2037">
        <v>3</v>
      </c>
      <c r="B74" s="2041" t="s">
        <v>101</v>
      </c>
      <c r="C74" s="2042"/>
      <c r="D74" s="2042">
        <v>801</v>
      </c>
      <c r="E74" s="2042"/>
      <c r="F74" s="2045" t="s">
        <v>141</v>
      </c>
      <c r="G74" s="2045"/>
      <c r="H74" s="2045"/>
      <c r="I74" s="2045"/>
      <c r="J74" s="2047">
        <v>2012</v>
      </c>
      <c r="K74" s="2047">
        <v>2013</v>
      </c>
      <c r="L74" s="2051">
        <v>621825</v>
      </c>
      <c r="M74" s="2053" t="s">
        <v>120</v>
      </c>
      <c r="N74" s="2055">
        <f>SUM(N78:N85)</f>
        <v>560665</v>
      </c>
      <c r="O74" s="2057" t="s">
        <v>112</v>
      </c>
      <c r="P74" s="2059">
        <f>SUM(P78:P85)</f>
        <v>342186</v>
      </c>
      <c r="Q74" s="2059">
        <f>SUM(Q78:Q85)</f>
        <v>218479</v>
      </c>
      <c r="R74" s="2059">
        <f>SUM(R78:R85)</f>
        <v>0</v>
      </c>
      <c r="S74" s="2059">
        <f t="shared" ref="S74:Y74" si="4">SUM(S78:S85)</f>
        <v>0</v>
      </c>
      <c r="T74" s="2059">
        <f t="shared" si="4"/>
        <v>0</v>
      </c>
      <c r="U74" s="2059">
        <f t="shared" si="4"/>
        <v>0</v>
      </c>
      <c r="V74" s="2059">
        <f t="shared" si="4"/>
        <v>0</v>
      </c>
      <c r="W74" s="2059">
        <f t="shared" si="4"/>
        <v>0</v>
      </c>
      <c r="X74" s="2059">
        <f t="shared" si="4"/>
        <v>0</v>
      </c>
      <c r="Y74" s="2059">
        <f t="shared" si="4"/>
        <v>0</v>
      </c>
      <c r="Z74" s="2066">
        <f>SUM(AA78:AA85)</f>
        <v>560665</v>
      </c>
      <c r="AA74" s="2067"/>
    </row>
    <row r="75" spans="1:27" s="664" customFormat="1">
      <c r="A75" s="2038"/>
      <c r="B75" s="2043"/>
      <c r="C75" s="2044"/>
      <c r="D75" s="2044"/>
      <c r="E75" s="2044"/>
      <c r="F75" s="2046"/>
      <c r="G75" s="2046"/>
      <c r="H75" s="2046"/>
      <c r="I75" s="2046"/>
      <c r="J75" s="2048"/>
      <c r="K75" s="2048"/>
      <c r="L75" s="2052"/>
      <c r="M75" s="2054"/>
      <c r="N75" s="2056"/>
      <c r="O75" s="2058"/>
      <c r="P75" s="2060"/>
      <c r="Q75" s="2060"/>
      <c r="R75" s="2060"/>
      <c r="S75" s="2060"/>
      <c r="T75" s="2060"/>
      <c r="U75" s="2060"/>
      <c r="V75" s="2060"/>
      <c r="W75" s="2060"/>
      <c r="X75" s="2060"/>
      <c r="Y75" s="2060"/>
      <c r="Z75" s="2068"/>
      <c r="AA75" s="2069"/>
    </row>
    <row r="76" spans="1:27" s="664" customFormat="1" ht="12.75" customHeight="1">
      <c r="A76" s="2038"/>
      <c r="B76" s="2072" t="s">
        <v>107</v>
      </c>
      <c r="C76" s="2058"/>
      <c r="D76" s="2058">
        <v>80195</v>
      </c>
      <c r="E76" s="2058"/>
      <c r="F76" s="2046" t="s">
        <v>130</v>
      </c>
      <c r="G76" s="2046"/>
      <c r="H76" s="2046"/>
      <c r="I76" s="2046"/>
      <c r="J76" s="2048"/>
      <c r="K76" s="2048"/>
      <c r="L76" s="2052"/>
      <c r="M76" s="2054"/>
      <c r="N76" s="2056"/>
      <c r="O76" s="2058"/>
      <c r="P76" s="2060"/>
      <c r="Q76" s="2060"/>
      <c r="R76" s="2060"/>
      <c r="S76" s="2060"/>
      <c r="T76" s="2060"/>
      <c r="U76" s="2060"/>
      <c r="V76" s="2060"/>
      <c r="W76" s="2060"/>
      <c r="X76" s="2060"/>
      <c r="Y76" s="2060"/>
      <c r="Z76" s="2068"/>
      <c r="AA76" s="2069"/>
    </row>
    <row r="77" spans="1:27" s="664" customFormat="1">
      <c r="A77" s="2038"/>
      <c r="B77" s="2073"/>
      <c r="C77" s="2074"/>
      <c r="D77" s="2074"/>
      <c r="E77" s="2074"/>
      <c r="F77" s="2075"/>
      <c r="G77" s="2075"/>
      <c r="H77" s="2075"/>
      <c r="I77" s="2075"/>
      <c r="J77" s="2048"/>
      <c r="K77" s="2048"/>
      <c r="L77" s="2052"/>
      <c r="M77" s="2054"/>
      <c r="N77" s="2056"/>
      <c r="O77" s="2058"/>
      <c r="P77" s="2060"/>
      <c r="Q77" s="2060"/>
      <c r="R77" s="2060"/>
      <c r="S77" s="2060"/>
      <c r="T77" s="2060"/>
      <c r="U77" s="2060"/>
      <c r="V77" s="2060"/>
      <c r="W77" s="2060"/>
      <c r="X77" s="2060"/>
      <c r="Y77" s="2060"/>
      <c r="Z77" s="2070"/>
      <c r="AA77" s="2071"/>
    </row>
    <row r="78" spans="1:27" s="664" customFormat="1" ht="12.75" customHeight="1">
      <c r="A78" s="2039"/>
      <c r="B78" s="2076" t="s">
        <v>163</v>
      </c>
      <c r="C78" s="2077"/>
      <c r="D78" s="2077"/>
      <c r="E78" s="2077"/>
      <c r="F78" s="2077"/>
      <c r="G78" s="2077"/>
      <c r="H78" s="2077"/>
      <c r="I78" s="2078"/>
      <c r="J78" s="2049"/>
      <c r="K78" s="2048"/>
      <c r="L78" s="2052"/>
      <c r="M78" s="2085" t="s">
        <v>143</v>
      </c>
      <c r="N78" s="2086">
        <f>SUM(P78:Y81)</f>
        <v>464238</v>
      </c>
      <c r="O78" s="2058" t="s">
        <v>112</v>
      </c>
      <c r="P78" s="2135">
        <v>291069</v>
      </c>
      <c r="Q78" s="2087">
        <v>173169</v>
      </c>
      <c r="R78" s="2087">
        <v>0</v>
      </c>
      <c r="S78" s="2087">
        <v>0</v>
      </c>
      <c r="T78" s="2087">
        <v>0</v>
      </c>
      <c r="U78" s="2087">
        <v>0</v>
      </c>
      <c r="V78" s="2087">
        <v>0</v>
      </c>
      <c r="W78" s="2087">
        <v>0</v>
      </c>
      <c r="X78" s="2087">
        <v>0</v>
      </c>
      <c r="Y78" s="2087">
        <v>0</v>
      </c>
      <c r="Z78" s="2183"/>
      <c r="AA78" s="2093"/>
    </row>
    <row r="79" spans="1:27" s="664" customFormat="1">
      <c r="A79" s="2039"/>
      <c r="B79" s="2079"/>
      <c r="C79" s="2080"/>
      <c r="D79" s="2080"/>
      <c r="E79" s="2080"/>
      <c r="F79" s="2080"/>
      <c r="G79" s="2080"/>
      <c r="H79" s="2080"/>
      <c r="I79" s="2081"/>
      <c r="J79" s="2049"/>
      <c r="K79" s="2048"/>
      <c r="L79" s="2052"/>
      <c r="M79" s="2085"/>
      <c r="N79" s="2058"/>
      <c r="O79" s="2058"/>
      <c r="P79" s="2136"/>
      <c r="Q79" s="2087"/>
      <c r="R79" s="2087"/>
      <c r="S79" s="2087"/>
      <c r="T79" s="2087"/>
      <c r="U79" s="2087"/>
      <c r="V79" s="2087"/>
      <c r="W79" s="2087"/>
      <c r="X79" s="2087"/>
      <c r="Y79" s="2087"/>
      <c r="Z79" s="2178"/>
      <c r="AA79" s="2062"/>
    </row>
    <row r="80" spans="1:27" s="664" customFormat="1">
      <c r="A80" s="2039"/>
      <c r="B80" s="2079"/>
      <c r="C80" s="2080"/>
      <c r="D80" s="2080"/>
      <c r="E80" s="2080"/>
      <c r="F80" s="2080"/>
      <c r="G80" s="2080"/>
      <c r="H80" s="2080"/>
      <c r="I80" s="2081"/>
      <c r="J80" s="2049"/>
      <c r="K80" s="2048"/>
      <c r="L80" s="2089">
        <v>61160</v>
      </c>
      <c r="M80" s="2085"/>
      <c r="N80" s="2058"/>
      <c r="O80" s="2058"/>
      <c r="P80" s="2136"/>
      <c r="Q80" s="2087"/>
      <c r="R80" s="2087"/>
      <c r="S80" s="2087"/>
      <c r="T80" s="2087"/>
      <c r="U80" s="2087"/>
      <c r="V80" s="2087"/>
      <c r="W80" s="2087"/>
      <c r="X80" s="2087"/>
      <c r="Y80" s="2087"/>
      <c r="Z80" s="2178" t="s">
        <v>154</v>
      </c>
      <c r="AA80" s="2062">
        <f>P74</f>
        <v>342186</v>
      </c>
    </row>
    <row r="81" spans="1:27" s="664" customFormat="1" ht="7.5" customHeight="1">
      <c r="A81" s="2039"/>
      <c r="B81" s="2082"/>
      <c r="C81" s="2083"/>
      <c r="D81" s="2083"/>
      <c r="E81" s="2083"/>
      <c r="F81" s="2083"/>
      <c r="G81" s="2083"/>
      <c r="H81" s="2083"/>
      <c r="I81" s="2084"/>
      <c r="J81" s="2049"/>
      <c r="K81" s="2048"/>
      <c r="L81" s="2089"/>
      <c r="M81" s="2085"/>
      <c r="N81" s="2058"/>
      <c r="O81" s="2058"/>
      <c r="P81" s="2184"/>
      <c r="Q81" s="2087"/>
      <c r="R81" s="2087"/>
      <c r="S81" s="2087"/>
      <c r="T81" s="2087"/>
      <c r="U81" s="2087"/>
      <c r="V81" s="2087"/>
      <c r="W81" s="2087"/>
      <c r="X81" s="2087"/>
      <c r="Y81" s="2087"/>
      <c r="Z81" s="2178"/>
      <c r="AA81" s="2062"/>
    </row>
    <row r="82" spans="1:27" s="664" customFormat="1" ht="12.75" customHeight="1">
      <c r="A82" s="2039"/>
      <c r="B82" s="2028" t="s">
        <v>161</v>
      </c>
      <c r="C82" s="2029"/>
      <c r="D82" s="2029"/>
      <c r="E82" s="2029"/>
      <c r="F82" s="2029"/>
      <c r="G82" s="2029"/>
      <c r="H82" s="2029"/>
      <c r="I82" s="2030"/>
      <c r="J82" s="2048"/>
      <c r="K82" s="2048"/>
      <c r="L82" s="2089"/>
      <c r="M82" s="2034" t="s">
        <v>370</v>
      </c>
      <c r="N82" s="2086">
        <f>SUM(P82:Y85)</f>
        <v>96427</v>
      </c>
      <c r="O82" s="2058" t="s">
        <v>112</v>
      </c>
      <c r="P82" s="2087">
        <v>51117</v>
      </c>
      <c r="Q82" s="2087">
        <v>45310</v>
      </c>
      <c r="R82" s="2087">
        <v>0</v>
      </c>
      <c r="S82" s="2087">
        <v>0</v>
      </c>
      <c r="T82" s="2087">
        <v>0</v>
      </c>
      <c r="U82" s="2087">
        <v>0</v>
      </c>
      <c r="V82" s="2087">
        <v>0</v>
      </c>
      <c r="W82" s="2087">
        <v>0</v>
      </c>
      <c r="X82" s="2087">
        <v>0</v>
      </c>
      <c r="Y82" s="2087">
        <v>0</v>
      </c>
      <c r="Z82" s="2178" t="s">
        <v>402</v>
      </c>
      <c r="AA82" s="2062">
        <f>Q74</f>
        <v>218479</v>
      </c>
    </row>
    <row r="83" spans="1:27" s="664" customFormat="1">
      <c r="A83" s="2039"/>
      <c r="B83" s="2028"/>
      <c r="C83" s="2029"/>
      <c r="D83" s="2029"/>
      <c r="E83" s="2029"/>
      <c r="F83" s="2029"/>
      <c r="G83" s="2029"/>
      <c r="H83" s="2029"/>
      <c r="I83" s="2030"/>
      <c r="J83" s="2048"/>
      <c r="K83" s="2048"/>
      <c r="L83" s="2089"/>
      <c r="M83" s="2035"/>
      <c r="N83" s="2058"/>
      <c r="O83" s="2058"/>
      <c r="P83" s="2087"/>
      <c r="Q83" s="2087"/>
      <c r="R83" s="2087"/>
      <c r="S83" s="2087"/>
      <c r="T83" s="2087"/>
      <c r="U83" s="2087"/>
      <c r="V83" s="2087"/>
      <c r="W83" s="2087"/>
      <c r="X83" s="2087"/>
      <c r="Y83" s="2087"/>
      <c r="Z83" s="2178"/>
      <c r="AA83" s="2062"/>
    </row>
    <row r="84" spans="1:27" s="664" customFormat="1" ht="5.25" customHeight="1">
      <c r="A84" s="2039"/>
      <c r="B84" s="2028"/>
      <c r="C84" s="2029"/>
      <c r="D84" s="2029"/>
      <c r="E84" s="2029"/>
      <c r="F84" s="2029"/>
      <c r="G84" s="2029"/>
      <c r="H84" s="2029"/>
      <c r="I84" s="2030"/>
      <c r="J84" s="2048"/>
      <c r="K84" s="2048"/>
      <c r="L84" s="2089"/>
      <c r="M84" s="2035"/>
      <c r="N84" s="2058"/>
      <c r="O84" s="2058"/>
      <c r="P84" s="2087"/>
      <c r="Q84" s="2087"/>
      <c r="R84" s="2087"/>
      <c r="S84" s="2087"/>
      <c r="T84" s="2087"/>
      <c r="U84" s="2087"/>
      <c r="V84" s="2087"/>
      <c r="W84" s="2087"/>
      <c r="X84" s="2087"/>
      <c r="Y84" s="2087"/>
      <c r="Z84" s="2179"/>
      <c r="AA84" s="2181"/>
    </row>
    <row r="85" spans="1:27" s="664" customFormat="1" ht="13.5" customHeight="1" thickBot="1">
      <c r="A85" s="2040"/>
      <c r="B85" s="2031"/>
      <c r="C85" s="2032"/>
      <c r="D85" s="2032"/>
      <c r="E85" s="2032"/>
      <c r="F85" s="2032"/>
      <c r="G85" s="2032"/>
      <c r="H85" s="2032"/>
      <c r="I85" s="2033"/>
      <c r="J85" s="2050"/>
      <c r="K85" s="2050"/>
      <c r="L85" s="2090"/>
      <c r="M85" s="2036"/>
      <c r="N85" s="2091"/>
      <c r="O85" s="2091"/>
      <c r="P85" s="2088"/>
      <c r="Q85" s="2088"/>
      <c r="R85" s="2088"/>
      <c r="S85" s="2088"/>
      <c r="T85" s="2088"/>
      <c r="U85" s="2088"/>
      <c r="V85" s="2088"/>
      <c r="W85" s="2088"/>
      <c r="X85" s="2088"/>
      <c r="Y85" s="2088"/>
      <c r="Z85" s="2180"/>
      <c r="AA85" s="2182"/>
    </row>
    <row r="86" spans="1:27" ht="20.25" customHeight="1" thickTop="1" thickBot="1">
      <c r="A86" s="635"/>
      <c r="B86" s="641"/>
      <c r="C86" s="641"/>
      <c r="D86" s="641"/>
      <c r="E86" s="641"/>
      <c r="F86" s="641"/>
      <c r="G86" s="641"/>
      <c r="H86" s="641"/>
      <c r="I86" s="641"/>
      <c r="J86" s="639"/>
      <c r="K86" s="639"/>
      <c r="L86" s="662"/>
      <c r="M86" s="824"/>
      <c r="N86" s="639"/>
      <c r="O86" s="639"/>
      <c r="P86" s="656"/>
      <c r="Q86" s="656"/>
      <c r="R86" s="656"/>
      <c r="S86" s="656"/>
      <c r="T86" s="656"/>
      <c r="U86" s="656"/>
      <c r="V86" s="656"/>
      <c r="W86" s="656"/>
      <c r="X86" s="656"/>
      <c r="Y86" s="656"/>
      <c r="Z86" s="638"/>
      <c r="AA86" s="637"/>
    </row>
    <row r="87" spans="1:27" ht="13.5" customHeight="1" thickTop="1">
      <c r="A87" s="2037">
        <v>4</v>
      </c>
      <c r="B87" s="2041" t="s">
        <v>101</v>
      </c>
      <c r="C87" s="2042"/>
      <c r="D87" s="2042">
        <v>750</v>
      </c>
      <c r="E87" s="2042"/>
      <c r="F87" s="2045" t="s">
        <v>132</v>
      </c>
      <c r="G87" s="2045"/>
      <c r="H87" s="2045"/>
      <c r="I87" s="2045"/>
      <c r="J87" s="2047">
        <v>2011</v>
      </c>
      <c r="K87" s="2047">
        <v>2013</v>
      </c>
      <c r="L87" s="2051">
        <v>593380</v>
      </c>
      <c r="M87" s="2053" t="s">
        <v>120</v>
      </c>
      <c r="N87" s="2055">
        <f>SUM(N91:N98)</f>
        <v>319370</v>
      </c>
      <c r="O87" s="2057" t="s">
        <v>112</v>
      </c>
      <c r="P87" s="2059">
        <f>SUM(P91:P98)</f>
        <v>319370</v>
      </c>
      <c r="Q87" s="2059">
        <f>SUM(Q91:Q98)</f>
        <v>0</v>
      </c>
      <c r="R87" s="2059">
        <f>SUM(R91:R98)</f>
        <v>0</v>
      </c>
      <c r="S87" s="2059">
        <f t="shared" ref="S87:Y87" si="5">SUM(S91:S98)</f>
        <v>0</v>
      </c>
      <c r="T87" s="2059">
        <f t="shared" si="5"/>
        <v>0</v>
      </c>
      <c r="U87" s="2059">
        <f t="shared" si="5"/>
        <v>0</v>
      </c>
      <c r="V87" s="2059">
        <f t="shared" si="5"/>
        <v>0</v>
      </c>
      <c r="W87" s="2059">
        <f t="shared" si="5"/>
        <v>0</v>
      </c>
      <c r="X87" s="2059">
        <f t="shared" si="5"/>
        <v>0</v>
      </c>
      <c r="Y87" s="2059">
        <f t="shared" si="5"/>
        <v>0</v>
      </c>
      <c r="Z87" s="2066">
        <f>SUM(AA91:AA98)</f>
        <v>319370</v>
      </c>
      <c r="AA87" s="2067"/>
    </row>
    <row r="88" spans="1:27">
      <c r="A88" s="2038"/>
      <c r="B88" s="2043"/>
      <c r="C88" s="2044"/>
      <c r="D88" s="2044"/>
      <c r="E88" s="2044"/>
      <c r="F88" s="2046"/>
      <c r="G88" s="2046"/>
      <c r="H88" s="2046"/>
      <c r="I88" s="2046"/>
      <c r="J88" s="2048"/>
      <c r="K88" s="2048"/>
      <c r="L88" s="2052"/>
      <c r="M88" s="2054"/>
      <c r="N88" s="2056"/>
      <c r="O88" s="2058"/>
      <c r="P88" s="2060"/>
      <c r="Q88" s="2060"/>
      <c r="R88" s="2060"/>
      <c r="S88" s="2060"/>
      <c r="T88" s="2060"/>
      <c r="U88" s="2060"/>
      <c r="V88" s="2060"/>
      <c r="W88" s="2060"/>
      <c r="X88" s="2060"/>
      <c r="Y88" s="2060"/>
      <c r="Z88" s="2068"/>
      <c r="AA88" s="2069"/>
    </row>
    <row r="89" spans="1:27" ht="12.75" customHeight="1">
      <c r="A89" s="2038"/>
      <c r="B89" s="2072" t="s">
        <v>107</v>
      </c>
      <c r="C89" s="2058"/>
      <c r="D89" s="2058">
        <v>75075</v>
      </c>
      <c r="E89" s="2058"/>
      <c r="F89" s="2046" t="s">
        <v>333</v>
      </c>
      <c r="G89" s="2046"/>
      <c r="H89" s="2046"/>
      <c r="I89" s="2046"/>
      <c r="J89" s="2048"/>
      <c r="K89" s="2048"/>
      <c r="L89" s="2052"/>
      <c r="M89" s="2054"/>
      <c r="N89" s="2056"/>
      <c r="O89" s="2058"/>
      <c r="P89" s="2060"/>
      <c r="Q89" s="2060"/>
      <c r="R89" s="2060"/>
      <c r="S89" s="2060"/>
      <c r="T89" s="2060"/>
      <c r="U89" s="2060"/>
      <c r="V89" s="2060"/>
      <c r="W89" s="2060"/>
      <c r="X89" s="2060"/>
      <c r="Y89" s="2060"/>
      <c r="Z89" s="2068"/>
      <c r="AA89" s="2069"/>
    </row>
    <row r="90" spans="1:27">
      <c r="A90" s="2038"/>
      <c r="B90" s="2073"/>
      <c r="C90" s="2074"/>
      <c r="D90" s="2074"/>
      <c r="E90" s="2074"/>
      <c r="F90" s="2075"/>
      <c r="G90" s="2075"/>
      <c r="H90" s="2075"/>
      <c r="I90" s="2075"/>
      <c r="J90" s="2048"/>
      <c r="K90" s="2048"/>
      <c r="L90" s="2052"/>
      <c r="M90" s="2054"/>
      <c r="N90" s="2056"/>
      <c r="O90" s="2058"/>
      <c r="P90" s="2060"/>
      <c r="Q90" s="2060"/>
      <c r="R90" s="2060"/>
      <c r="S90" s="2060"/>
      <c r="T90" s="2060"/>
      <c r="U90" s="2060"/>
      <c r="V90" s="2060"/>
      <c r="W90" s="2060"/>
      <c r="X90" s="2060"/>
      <c r="Y90" s="2060"/>
      <c r="Z90" s="2070"/>
      <c r="AA90" s="2071"/>
    </row>
    <row r="91" spans="1:27" ht="12.75" customHeight="1">
      <c r="A91" s="2039"/>
      <c r="B91" s="2076" t="s">
        <v>168</v>
      </c>
      <c r="C91" s="2077"/>
      <c r="D91" s="2077"/>
      <c r="E91" s="2077"/>
      <c r="F91" s="2077"/>
      <c r="G91" s="2077"/>
      <c r="H91" s="2077"/>
      <c r="I91" s="2078"/>
      <c r="J91" s="2049"/>
      <c r="K91" s="2048"/>
      <c r="L91" s="2052"/>
      <c r="M91" s="2085" t="s">
        <v>143</v>
      </c>
      <c r="N91" s="2086">
        <f>SUM(P91:Y94)</f>
        <v>271465</v>
      </c>
      <c r="O91" s="2058" t="s">
        <v>112</v>
      </c>
      <c r="P91" s="2087">
        <v>271465</v>
      </c>
      <c r="Q91" s="2087">
        <v>0</v>
      </c>
      <c r="R91" s="2087">
        <v>0</v>
      </c>
      <c r="S91" s="2087">
        <v>0</v>
      </c>
      <c r="T91" s="2087">
        <v>0</v>
      </c>
      <c r="U91" s="2087">
        <v>0</v>
      </c>
      <c r="V91" s="2087">
        <v>0</v>
      </c>
      <c r="W91" s="2087">
        <v>0</v>
      </c>
      <c r="X91" s="2087">
        <v>0</v>
      </c>
      <c r="Y91" s="2087">
        <v>0</v>
      </c>
      <c r="Z91" s="2092"/>
      <c r="AA91" s="2093"/>
    </row>
    <row r="92" spans="1:27">
      <c r="A92" s="2039"/>
      <c r="B92" s="2079"/>
      <c r="C92" s="2080"/>
      <c r="D92" s="2080"/>
      <c r="E92" s="2080"/>
      <c r="F92" s="2080"/>
      <c r="G92" s="2080"/>
      <c r="H92" s="2080"/>
      <c r="I92" s="2081"/>
      <c r="J92" s="2049"/>
      <c r="K92" s="2048"/>
      <c r="L92" s="2052"/>
      <c r="M92" s="2085"/>
      <c r="N92" s="2058"/>
      <c r="O92" s="2058"/>
      <c r="P92" s="2087"/>
      <c r="Q92" s="2087"/>
      <c r="R92" s="2087"/>
      <c r="S92" s="2087"/>
      <c r="T92" s="2087"/>
      <c r="U92" s="2087"/>
      <c r="V92" s="2087"/>
      <c r="W92" s="2087"/>
      <c r="X92" s="2087"/>
      <c r="Y92" s="2087"/>
      <c r="Z92" s="2061"/>
      <c r="AA92" s="2062"/>
    </row>
    <row r="93" spans="1:27" ht="9" customHeight="1">
      <c r="A93" s="2039"/>
      <c r="B93" s="2079"/>
      <c r="C93" s="2080"/>
      <c r="D93" s="2080"/>
      <c r="E93" s="2080"/>
      <c r="F93" s="2080"/>
      <c r="G93" s="2080"/>
      <c r="H93" s="2080"/>
      <c r="I93" s="2081"/>
      <c r="J93" s="2049"/>
      <c r="K93" s="2048"/>
      <c r="L93" s="2089">
        <v>124860.98</v>
      </c>
      <c r="M93" s="2085"/>
      <c r="N93" s="2058"/>
      <c r="O93" s="2058"/>
      <c r="P93" s="2087"/>
      <c r="Q93" s="2087"/>
      <c r="R93" s="2087"/>
      <c r="S93" s="2087"/>
      <c r="T93" s="2087"/>
      <c r="U93" s="2087"/>
      <c r="V93" s="2087"/>
      <c r="W93" s="2087"/>
      <c r="X93" s="2087"/>
      <c r="Y93" s="2087"/>
      <c r="Z93" s="2061" t="s">
        <v>154</v>
      </c>
      <c r="AA93" s="2062">
        <f>P87</f>
        <v>319370</v>
      </c>
    </row>
    <row r="94" spans="1:27" ht="6" customHeight="1">
      <c r="A94" s="2039"/>
      <c r="B94" s="2082"/>
      <c r="C94" s="2083"/>
      <c r="D94" s="2083"/>
      <c r="E94" s="2083"/>
      <c r="F94" s="2083"/>
      <c r="G94" s="2083"/>
      <c r="H94" s="2083"/>
      <c r="I94" s="2084"/>
      <c r="J94" s="2049"/>
      <c r="K94" s="2048"/>
      <c r="L94" s="2089"/>
      <c r="M94" s="2085"/>
      <c r="N94" s="2058"/>
      <c r="O94" s="2058"/>
      <c r="P94" s="2087"/>
      <c r="Q94" s="2087"/>
      <c r="R94" s="2087"/>
      <c r="S94" s="2087"/>
      <c r="T94" s="2087"/>
      <c r="U94" s="2087"/>
      <c r="V94" s="2087"/>
      <c r="W94" s="2087"/>
      <c r="X94" s="2087"/>
      <c r="Y94" s="2087"/>
      <c r="Z94" s="2061"/>
      <c r="AA94" s="2062"/>
    </row>
    <row r="95" spans="1:27" ht="13.5" customHeight="1">
      <c r="A95" s="2039"/>
      <c r="B95" s="2028" t="s">
        <v>167</v>
      </c>
      <c r="C95" s="2029"/>
      <c r="D95" s="2029"/>
      <c r="E95" s="2029"/>
      <c r="F95" s="2029"/>
      <c r="G95" s="2029"/>
      <c r="H95" s="2029"/>
      <c r="I95" s="2030"/>
      <c r="J95" s="2048"/>
      <c r="K95" s="2048"/>
      <c r="L95" s="2089"/>
      <c r="M95" s="2034" t="s">
        <v>371</v>
      </c>
      <c r="N95" s="2086">
        <f>SUM(P95:Y98)</f>
        <v>47905</v>
      </c>
      <c r="O95" s="2058" t="s">
        <v>112</v>
      </c>
      <c r="P95" s="2087">
        <v>47905</v>
      </c>
      <c r="Q95" s="2087">
        <v>0</v>
      </c>
      <c r="R95" s="2087">
        <v>0</v>
      </c>
      <c r="S95" s="2087">
        <v>0</v>
      </c>
      <c r="T95" s="2087">
        <v>0</v>
      </c>
      <c r="U95" s="2087">
        <v>0</v>
      </c>
      <c r="V95" s="2087">
        <v>0</v>
      </c>
      <c r="W95" s="2087">
        <v>0</v>
      </c>
      <c r="X95" s="2087">
        <v>0</v>
      </c>
      <c r="Y95" s="2087">
        <v>0</v>
      </c>
      <c r="Z95" s="2061"/>
      <c r="AA95" s="2176"/>
    </row>
    <row r="96" spans="1:27">
      <c r="A96" s="2039"/>
      <c r="B96" s="2028"/>
      <c r="C96" s="2029"/>
      <c r="D96" s="2029"/>
      <c r="E96" s="2029"/>
      <c r="F96" s="2029"/>
      <c r="G96" s="2029"/>
      <c r="H96" s="2029"/>
      <c r="I96" s="2030"/>
      <c r="J96" s="2048"/>
      <c r="K96" s="2048"/>
      <c r="L96" s="2089"/>
      <c r="M96" s="2035"/>
      <c r="N96" s="2058"/>
      <c r="O96" s="2058"/>
      <c r="P96" s="2087"/>
      <c r="Q96" s="2087"/>
      <c r="R96" s="2087"/>
      <c r="S96" s="2087"/>
      <c r="T96" s="2087"/>
      <c r="U96" s="2087"/>
      <c r="V96" s="2087"/>
      <c r="W96" s="2087"/>
      <c r="X96" s="2087"/>
      <c r="Y96" s="2087"/>
      <c r="Z96" s="2061"/>
      <c r="AA96" s="2176"/>
    </row>
    <row r="97" spans="1:27" ht="5.25" customHeight="1">
      <c r="A97" s="2039"/>
      <c r="B97" s="2028"/>
      <c r="C97" s="2029"/>
      <c r="D97" s="2029"/>
      <c r="E97" s="2029"/>
      <c r="F97" s="2029"/>
      <c r="G97" s="2029"/>
      <c r="H97" s="2029"/>
      <c r="I97" s="2030"/>
      <c r="J97" s="2048"/>
      <c r="K97" s="2048"/>
      <c r="L97" s="2089"/>
      <c r="M97" s="2035"/>
      <c r="N97" s="2058"/>
      <c r="O97" s="2058"/>
      <c r="P97" s="2087"/>
      <c r="Q97" s="2087"/>
      <c r="R97" s="2087"/>
      <c r="S97" s="2087"/>
      <c r="T97" s="2087"/>
      <c r="U97" s="2087"/>
      <c r="V97" s="2087"/>
      <c r="W97" s="2087"/>
      <c r="X97" s="2087"/>
      <c r="Y97" s="2087"/>
      <c r="Z97" s="2063"/>
      <c r="AA97" s="2176"/>
    </row>
    <row r="98" spans="1:27" ht="13.5" customHeight="1" thickBot="1">
      <c r="A98" s="2040"/>
      <c r="B98" s="2031"/>
      <c r="C98" s="2032"/>
      <c r="D98" s="2032"/>
      <c r="E98" s="2032"/>
      <c r="F98" s="2032"/>
      <c r="G98" s="2032"/>
      <c r="H98" s="2032"/>
      <c r="I98" s="2033"/>
      <c r="J98" s="2050"/>
      <c r="K98" s="2050"/>
      <c r="L98" s="2090"/>
      <c r="M98" s="2036"/>
      <c r="N98" s="2091"/>
      <c r="O98" s="2091"/>
      <c r="P98" s="2088"/>
      <c r="Q98" s="2088"/>
      <c r="R98" s="2088"/>
      <c r="S98" s="2088"/>
      <c r="T98" s="2088"/>
      <c r="U98" s="2088"/>
      <c r="V98" s="2088"/>
      <c r="W98" s="2088"/>
      <c r="X98" s="2088"/>
      <c r="Y98" s="2088"/>
      <c r="Z98" s="2064"/>
      <c r="AA98" s="2177"/>
    </row>
    <row r="99" spans="1:27" ht="13.5" customHeight="1" thickTop="1" thickBot="1">
      <c r="A99" s="635"/>
      <c r="B99" s="641"/>
      <c r="C99" s="641"/>
      <c r="D99" s="641"/>
      <c r="E99" s="641"/>
      <c r="F99" s="641"/>
      <c r="G99" s="641"/>
      <c r="H99" s="641"/>
      <c r="I99" s="641"/>
      <c r="J99" s="639"/>
      <c r="K99" s="639"/>
      <c r="L99" s="662"/>
      <c r="M99" s="824"/>
      <c r="N99" s="639"/>
      <c r="O99" s="639"/>
      <c r="P99" s="656"/>
      <c r="Q99" s="656"/>
      <c r="R99" s="656"/>
      <c r="S99" s="656"/>
      <c r="T99" s="656"/>
      <c r="U99" s="656"/>
      <c r="V99" s="656"/>
      <c r="W99" s="656"/>
      <c r="X99" s="656"/>
      <c r="Y99" s="656"/>
      <c r="Z99" s="638"/>
      <c r="AA99" s="637"/>
    </row>
    <row r="100" spans="1:27" ht="13.5" thickTop="1">
      <c r="A100" s="2037">
        <v>5</v>
      </c>
      <c r="B100" s="2041" t="s">
        <v>101</v>
      </c>
      <c r="C100" s="2042"/>
      <c r="D100" s="2042">
        <v>853</v>
      </c>
      <c r="E100" s="2042"/>
      <c r="F100" s="2045" t="s">
        <v>354</v>
      </c>
      <c r="G100" s="2045"/>
      <c r="H100" s="2045"/>
      <c r="I100" s="2045"/>
      <c r="J100" s="2047">
        <v>2011</v>
      </c>
      <c r="K100" s="2047">
        <v>2014</v>
      </c>
      <c r="L100" s="2051">
        <v>730500</v>
      </c>
      <c r="M100" s="2053" t="s">
        <v>120</v>
      </c>
      <c r="N100" s="2055">
        <f>SUM(N104:N111)</f>
        <v>295983</v>
      </c>
      <c r="O100" s="2057" t="s">
        <v>112</v>
      </c>
      <c r="P100" s="2059">
        <f>SUM(P104:P111)</f>
        <v>288183</v>
      </c>
      <c r="Q100" s="2059">
        <f>SUM(Q104:Q111)</f>
        <v>7800</v>
      </c>
      <c r="R100" s="2059">
        <f>SUM(R104:R111)</f>
        <v>0</v>
      </c>
      <c r="S100" s="2059">
        <f t="shared" ref="S100:Y100" si="6">SUM(S104:S111)</f>
        <v>0</v>
      </c>
      <c r="T100" s="2059">
        <f t="shared" si="6"/>
        <v>0</v>
      </c>
      <c r="U100" s="2059">
        <f t="shared" si="6"/>
        <v>0</v>
      </c>
      <c r="V100" s="2059">
        <f t="shared" si="6"/>
        <v>0</v>
      </c>
      <c r="W100" s="2059">
        <f t="shared" si="6"/>
        <v>0</v>
      </c>
      <c r="X100" s="2059">
        <f t="shared" si="6"/>
        <v>0</v>
      </c>
      <c r="Y100" s="2059">
        <f t="shared" si="6"/>
        <v>0</v>
      </c>
      <c r="Z100" s="2066">
        <f>SUM(AA104:AA111)</f>
        <v>295983</v>
      </c>
      <c r="AA100" s="2067"/>
    </row>
    <row r="101" spans="1:27">
      <c r="A101" s="2038"/>
      <c r="B101" s="2043"/>
      <c r="C101" s="2044"/>
      <c r="D101" s="2044"/>
      <c r="E101" s="2044"/>
      <c r="F101" s="2046"/>
      <c r="G101" s="2046"/>
      <c r="H101" s="2046"/>
      <c r="I101" s="2046"/>
      <c r="J101" s="2048"/>
      <c r="K101" s="2048"/>
      <c r="L101" s="2052"/>
      <c r="M101" s="2054"/>
      <c r="N101" s="2056"/>
      <c r="O101" s="2058"/>
      <c r="P101" s="2060"/>
      <c r="Q101" s="2060"/>
      <c r="R101" s="2060"/>
      <c r="S101" s="2060"/>
      <c r="T101" s="2060"/>
      <c r="U101" s="2060"/>
      <c r="V101" s="2060"/>
      <c r="W101" s="2060"/>
      <c r="X101" s="2060"/>
      <c r="Y101" s="2060"/>
      <c r="Z101" s="2068"/>
      <c r="AA101" s="2069"/>
    </row>
    <row r="102" spans="1:27" ht="12.75" customHeight="1">
      <c r="A102" s="2038"/>
      <c r="B102" s="2072" t="s">
        <v>107</v>
      </c>
      <c r="C102" s="2058"/>
      <c r="D102" s="2058">
        <v>85395</v>
      </c>
      <c r="E102" s="2058"/>
      <c r="F102" s="2046" t="s">
        <v>130</v>
      </c>
      <c r="G102" s="2046"/>
      <c r="H102" s="2046"/>
      <c r="I102" s="2046"/>
      <c r="J102" s="2048"/>
      <c r="K102" s="2048"/>
      <c r="L102" s="2052"/>
      <c r="M102" s="2054"/>
      <c r="N102" s="2056"/>
      <c r="O102" s="2058"/>
      <c r="P102" s="2060"/>
      <c r="Q102" s="2060"/>
      <c r="R102" s="2060"/>
      <c r="S102" s="2060"/>
      <c r="T102" s="2060"/>
      <c r="U102" s="2060"/>
      <c r="V102" s="2060"/>
      <c r="W102" s="2060"/>
      <c r="X102" s="2060"/>
      <c r="Y102" s="2060"/>
      <c r="Z102" s="2068"/>
      <c r="AA102" s="2069"/>
    </row>
    <row r="103" spans="1:27">
      <c r="A103" s="2038"/>
      <c r="B103" s="2073"/>
      <c r="C103" s="2074"/>
      <c r="D103" s="2074"/>
      <c r="E103" s="2074"/>
      <c r="F103" s="2075"/>
      <c r="G103" s="2075"/>
      <c r="H103" s="2075"/>
      <c r="I103" s="2075"/>
      <c r="J103" s="2048"/>
      <c r="K103" s="2048"/>
      <c r="L103" s="2052"/>
      <c r="M103" s="2054"/>
      <c r="N103" s="2056"/>
      <c r="O103" s="2058"/>
      <c r="P103" s="2060"/>
      <c r="Q103" s="2060"/>
      <c r="R103" s="2060"/>
      <c r="S103" s="2060"/>
      <c r="T103" s="2060"/>
      <c r="U103" s="2060"/>
      <c r="V103" s="2060"/>
      <c r="W103" s="2060"/>
      <c r="X103" s="2060"/>
      <c r="Y103" s="2060"/>
      <c r="Z103" s="2070"/>
      <c r="AA103" s="2071"/>
    </row>
    <row r="104" spans="1:27" ht="12.75" customHeight="1">
      <c r="A104" s="2039"/>
      <c r="B104" s="2076" t="s">
        <v>355</v>
      </c>
      <c r="C104" s="2077"/>
      <c r="D104" s="2077"/>
      <c r="E104" s="2077"/>
      <c r="F104" s="2077"/>
      <c r="G104" s="2077"/>
      <c r="H104" s="2077"/>
      <c r="I104" s="2078"/>
      <c r="J104" s="2049"/>
      <c r="K104" s="2048"/>
      <c r="L104" s="2052"/>
      <c r="M104" s="2085" t="s">
        <v>143</v>
      </c>
      <c r="N104" s="2086">
        <f>SUM(P104:Y107)</f>
        <v>266981</v>
      </c>
      <c r="O104" s="2058" t="s">
        <v>112</v>
      </c>
      <c r="P104" s="2087">
        <f>244956+15800</f>
        <v>260756</v>
      </c>
      <c r="Q104" s="2087">
        <v>6225</v>
      </c>
      <c r="R104" s="2087">
        <v>0</v>
      </c>
      <c r="S104" s="2087">
        <v>0</v>
      </c>
      <c r="T104" s="2087">
        <v>0</v>
      </c>
      <c r="U104" s="2087">
        <v>0</v>
      </c>
      <c r="V104" s="2087">
        <v>0</v>
      </c>
      <c r="W104" s="2087">
        <v>0</v>
      </c>
      <c r="X104" s="2087">
        <v>0</v>
      </c>
      <c r="Y104" s="2087">
        <v>0</v>
      </c>
      <c r="Z104" s="2092"/>
      <c r="AA104" s="2093"/>
    </row>
    <row r="105" spans="1:27">
      <c r="A105" s="2039"/>
      <c r="B105" s="2079"/>
      <c r="C105" s="2080"/>
      <c r="D105" s="2080"/>
      <c r="E105" s="2080"/>
      <c r="F105" s="2080"/>
      <c r="G105" s="2080"/>
      <c r="H105" s="2080"/>
      <c r="I105" s="2081"/>
      <c r="J105" s="2049"/>
      <c r="K105" s="2048"/>
      <c r="L105" s="2052"/>
      <c r="M105" s="2085"/>
      <c r="N105" s="2058"/>
      <c r="O105" s="2058"/>
      <c r="P105" s="2087"/>
      <c r="Q105" s="2087"/>
      <c r="R105" s="2087"/>
      <c r="S105" s="2087"/>
      <c r="T105" s="2087"/>
      <c r="U105" s="2087"/>
      <c r="V105" s="2087"/>
      <c r="W105" s="2087"/>
      <c r="X105" s="2087"/>
      <c r="Y105" s="2087"/>
      <c r="Z105" s="2061"/>
      <c r="AA105" s="2062"/>
    </row>
    <row r="106" spans="1:27">
      <c r="A106" s="2039"/>
      <c r="B106" s="2079"/>
      <c r="C106" s="2080"/>
      <c r="D106" s="2080"/>
      <c r="E106" s="2080"/>
      <c r="F106" s="2080"/>
      <c r="G106" s="2080"/>
      <c r="H106" s="2080"/>
      <c r="I106" s="2081"/>
      <c r="J106" s="2049"/>
      <c r="K106" s="2048"/>
      <c r="L106" s="2089">
        <v>28764.48</v>
      </c>
      <c r="M106" s="2085"/>
      <c r="N106" s="2058"/>
      <c r="O106" s="2058"/>
      <c r="P106" s="2087"/>
      <c r="Q106" s="2087"/>
      <c r="R106" s="2087"/>
      <c r="S106" s="2087"/>
      <c r="T106" s="2087"/>
      <c r="U106" s="2087"/>
      <c r="V106" s="2087"/>
      <c r="W106" s="2087"/>
      <c r="X106" s="2087"/>
      <c r="Y106" s="2087"/>
      <c r="Z106" s="2061" t="s">
        <v>154</v>
      </c>
      <c r="AA106" s="2062">
        <f>P100</f>
        <v>288183</v>
      </c>
    </row>
    <row r="107" spans="1:27" ht="0.75" customHeight="1">
      <c r="A107" s="2039"/>
      <c r="B107" s="2082"/>
      <c r="C107" s="2083"/>
      <c r="D107" s="2083"/>
      <c r="E107" s="2083"/>
      <c r="F107" s="2083"/>
      <c r="G107" s="2083"/>
      <c r="H107" s="2083"/>
      <c r="I107" s="2084"/>
      <c r="J107" s="2049"/>
      <c r="K107" s="2048"/>
      <c r="L107" s="2089"/>
      <c r="M107" s="2085"/>
      <c r="N107" s="2058"/>
      <c r="O107" s="2058"/>
      <c r="P107" s="2087"/>
      <c r="Q107" s="2087"/>
      <c r="R107" s="2087"/>
      <c r="S107" s="2087"/>
      <c r="T107" s="2087"/>
      <c r="U107" s="2087"/>
      <c r="V107" s="2087"/>
      <c r="W107" s="2087"/>
      <c r="X107" s="2087"/>
      <c r="Y107" s="2087"/>
      <c r="Z107" s="2061"/>
      <c r="AA107" s="2062"/>
    </row>
    <row r="108" spans="1:27" ht="12.75" customHeight="1">
      <c r="A108" s="2039"/>
      <c r="B108" s="2028" t="s">
        <v>356</v>
      </c>
      <c r="C108" s="2029"/>
      <c r="D108" s="2029"/>
      <c r="E108" s="2029"/>
      <c r="F108" s="2029"/>
      <c r="G108" s="2029"/>
      <c r="H108" s="2029"/>
      <c r="I108" s="2030"/>
      <c r="J108" s="2048"/>
      <c r="K108" s="2048"/>
      <c r="L108" s="2089"/>
      <c r="M108" s="2034" t="s">
        <v>369</v>
      </c>
      <c r="N108" s="2086">
        <f>SUM(P108:Y111)</f>
        <v>29002</v>
      </c>
      <c r="O108" s="2058" t="s">
        <v>112</v>
      </c>
      <c r="P108" s="2087">
        <v>27427</v>
      </c>
      <c r="Q108" s="2087">
        <v>1575</v>
      </c>
      <c r="R108" s="2087">
        <v>0</v>
      </c>
      <c r="S108" s="2087">
        <v>0</v>
      </c>
      <c r="T108" s="2087">
        <v>0</v>
      </c>
      <c r="U108" s="2087">
        <v>0</v>
      </c>
      <c r="V108" s="2087">
        <v>0</v>
      </c>
      <c r="W108" s="2087">
        <v>0</v>
      </c>
      <c r="X108" s="2087">
        <v>0</v>
      </c>
      <c r="Y108" s="2087">
        <v>0</v>
      </c>
      <c r="Z108" s="2061" t="s">
        <v>345</v>
      </c>
      <c r="AA108" s="2062">
        <f>Q100</f>
        <v>7800</v>
      </c>
    </row>
    <row r="109" spans="1:27">
      <c r="A109" s="2039"/>
      <c r="B109" s="2028"/>
      <c r="C109" s="2029"/>
      <c r="D109" s="2029"/>
      <c r="E109" s="2029"/>
      <c r="F109" s="2029"/>
      <c r="G109" s="2029"/>
      <c r="H109" s="2029"/>
      <c r="I109" s="2030"/>
      <c r="J109" s="2048"/>
      <c r="K109" s="2048"/>
      <c r="L109" s="2089"/>
      <c r="M109" s="2035"/>
      <c r="N109" s="2058"/>
      <c r="O109" s="2058"/>
      <c r="P109" s="2087"/>
      <c r="Q109" s="2087"/>
      <c r="R109" s="2087"/>
      <c r="S109" s="2087"/>
      <c r="T109" s="2087"/>
      <c r="U109" s="2087"/>
      <c r="V109" s="2087"/>
      <c r="W109" s="2087"/>
      <c r="X109" s="2087"/>
      <c r="Y109" s="2087"/>
      <c r="Z109" s="2061"/>
      <c r="AA109" s="2062"/>
    </row>
    <row r="110" spans="1:27" ht="5.25" customHeight="1">
      <c r="A110" s="2039"/>
      <c r="B110" s="2028"/>
      <c r="C110" s="2029"/>
      <c r="D110" s="2029"/>
      <c r="E110" s="2029"/>
      <c r="F110" s="2029"/>
      <c r="G110" s="2029"/>
      <c r="H110" s="2029"/>
      <c r="I110" s="2030"/>
      <c r="J110" s="2048"/>
      <c r="K110" s="2048"/>
      <c r="L110" s="2089"/>
      <c r="M110" s="2035"/>
      <c r="N110" s="2058"/>
      <c r="O110" s="2058"/>
      <c r="P110" s="2087"/>
      <c r="Q110" s="2087"/>
      <c r="R110" s="2087"/>
      <c r="S110" s="2087"/>
      <c r="T110" s="2087"/>
      <c r="U110" s="2087"/>
      <c r="V110" s="2087"/>
      <c r="W110" s="2087"/>
      <c r="X110" s="2087"/>
      <c r="Y110" s="2087"/>
      <c r="Z110" s="2063"/>
      <c r="AA110" s="2062"/>
    </row>
    <row r="111" spans="1:27" ht="25.5" customHeight="1" thickBot="1">
      <c r="A111" s="2040"/>
      <c r="B111" s="2031"/>
      <c r="C111" s="2032"/>
      <c r="D111" s="2032"/>
      <c r="E111" s="2032"/>
      <c r="F111" s="2032"/>
      <c r="G111" s="2032"/>
      <c r="H111" s="2032"/>
      <c r="I111" s="2033"/>
      <c r="J111" s="2050"/>
      <c r="K111" s="2050"/>
      <c r="L111" s="2090"/>
      <c r="M111" s="2036"/>
      <c r="N111" s="2091"/>
      <c r="O111" s="2091"/>
      <c r="P111" s="2088"/>
      <c r="Q111" s="2088"/>
      <c r="R111" s="2088"/>
      <c r="S111" s="2088"/>
      <c r="T111" s="2088"/>
      <c r="U111" s="2088"/>
      <c r="V111" s="2088"/>
      <c r="W111" s="2088"/>
      <c r="X111" s="2088"/>
      <c r="Y111" s="2088"/>
      <c r="Z111" s="2064"/>
      <c r="AA111" s="2062"/>
    </row>
    <row r="112" spans="1:27" ht="12.75" customHeight="1" thickTop="1" thickBot="1">
      <c r="A112" s="635"/>
      <c r="B112" s="641"/>
      <c r="C112" s="641"/>
      <c r="D112" s="641"/>
      <c r="E112" s="641"/>
      <c r="F112" s="641"/>
      <c r="G112" s="641"/>
      <c r="H112" s="641"/>
      <c r="I112" s="641"/>
      <c r="J112" s="635"/>
      <c r="K112" s="635"/>
      <c r="L112" s="661"/>
      <c r="M112" s="822"/>
      <c r="N112" s="635"/>
      <c r="O112" s="635"/>
      <c r="P112" s="655"/>
      <c r="Q112" s="655"/>
      <c r="R112" s="655"/>
      <c r="S112" s="655"/>
      <c r="T112" s="655"/>
      <c r="U112" s="655"/>
      <c r="V112" s="655"/>
      <c r="W112" s="655"/>
      <c r="X112" s="655"/>
      <c r="Y112" s="655"/>
      <c r="Z112" s="634"/>
      <c r="AA112" s="633"/>
    </row>
    <row r="113" spans="1:27" ht="16.5" customHeight="1" thickTop="1">
      <c r="A113" s="2037">
        <v>6</v>
      </c>
      <c r="B113" s="2041" t="s">
        <v>101</v>
      </c>
      <c r="C113" s="2042"/>
      <c r="D113" s="2042">
        <v>852</v>
      </c>
      <c r="E113" s="2042"/>
      <c r="F113" s="2045" t="s">
        <v>150</v>
      </c>
      <c r="G113" s="2045"/>
      <c r="H113" s="2045"/>
      <c r="I113" s="2045"/>
      <c r="J113" s="2047">
        <v>2012</v>
      </c>
      <c r="K113" s="2047">
        <v>2015</v>
      </c>
      <c r="L113" s="2051">
        <v>957700</v>
      </c>
      <c r="M113" s="2053" t="s">
        <v>120</v>
      </c>
      <c r="N113" s="2055">
        <f>SUM(N117:N124)</f>
        <v>716915</v>
      </c>
      <c r="O113" s="2057" t="s">
        <v>112</v>
      </c>
      <c r="P113" s="2059">
        <f>SUM(P117:P124)</f>
        <v>351636</v>
      </c>
      <c r="Q113" s="2059">
        <f>SUM(Q117:Q124)</f>
        <v>350032</v>
      </c>
      <c r="R113" s="2059">
        <f>SUM(R117:R124)</f>
        <v>15247</v>
      </c>
      <c r="S113" s="2059">
        <f t="shared" ref="S113:Y113" si="7">SUM(S117:S124)</f>
        <v>0</v>
      </c>
      <c r="T113" s="2059">
        <f t="shared" si="7"/>
        <v>0</v>
      </c>
      <c r="U113" s="2059">
        <f t="shared" si="7"/>
        <v>0</v>
      </c>
      <c r="V113" s="2059">
        <f t="shared" si="7"/>
        <v>0</v>
      </c>
      <c r="W113" s="2059">
        <f t="shared" si="7"/>
        <v>0</v>
      </c>
      <c r="X113" s="2059">
        <f t="shared" si="7"/>
        <v>0</v>
      </c>
      <c r="Y113" s="2059">
        <f t="shared" si="7"/>
        <v>0</v>
      </c>
      <c r="Z113" s="2066">
        <f>SUM(AA117:AA124)</f>
        <v>716915</v>
      </c>
      <c r="AA113" s="2067"/>
    </row>
    <row r="114" spans="1:27" ht="11.25" customHeight="1">
      <c r="A114" s="2038"/>
      <c r="B114" s="2043"/>
      <c r="C114" s="2044"/>
      <c r="D114" s="2044"/>
      <c r="E114" s="2044"/>
      <c r="F114" s="2046"/>
      <c r="G114" s="2046"/>
      <c r="H114" s="2046"/>
      <c r="I114" s="2046"/>
      <c r="J114" s="2048"/>
      <c r="K114" s="2048"/>
      <c r="L114" s="2052"/>
      <c r="M114" s="2054"/>
      <c r="N114" s="2056"/>
      <c r="O114" s="2058"/>
      <c r="P114" s="2060"/>
      <c r="Q114" s="2060"/>
      <c r="R114" s="2060"/>
      <c r="S114" s="2060"/>
      <c r="T114" s="2060"/>
      <c r="U114" s="2060"/>
      <c r="V114" s="2060"/>
      <c r="W114" s="2060"/>
      <c r="X114" s="2060"/>
      <c r="Y114" s="2060"/>
      <c r="Z114" s="2068"/>
      <c r="AA114" s="2069"/>
    </row>
    <row r="115" spans="1:27" ht="16.5" customHeight="1">
      <c r="A115" s="2038"/>
      <c r="B115" s="2072" t="s">
        <v>107</v>
      </c>
      <c r="C115" s="2058"/>
      <c r="D115" s="2058">
        <v>85232</v>
      </c>
      <c r="E115" s="2058"/>
      <c r="F115" s="2046" t="s">
        <v>343</v>
      </c>
      <c r="G115" s="2046"/>
      <c r="H115" s="2046"/>
      <c r="I115" s="2046"/>
      <c r="J115" s="2048"/>
      <c r="K115" s="2048"/>
      <c r="L115" s="2052"/>
      <c r="M115" s="2054"/>
      <c r="N115" s="2056"/>
      <c r="O115" s="2058"/>
      <c r="P115" s="2060"/>
      <c r="Q115" s="2060"/>
      <c r="R115" s="2060"/>
      <c r="S115" s="2060"/>
      <c r="T115" s="2060"/>
      <c r="U115" s="2060"/>
      <c r="V115" s="2060"/>
      <c r="W115" s="2060"/>
      <c r="X115" s="2060"/>
      <c r="Y115" s="2060"/>
      <c r="Z115" s="2068"/>
      <c r="AA115" s="2069"/>
    </row>
    <row r="116" spans="1:27" ht="13.5" customHeight="1">
      <c r="A116" s="2038"/>
      <c r="B116" s="2073"/>
      <c r="C116" s="2074"/>
      <c r="D116" s="2074"/>
      <c r="E116" s="2074"/>
      <c r="F116" s="2075"/>
      <c r="G116" s="2075"/>
      <c r="H116" s="2075"/>
      <c r="I116" s="2075"/>
      <c r="J116" s="2048"/>
      <c r="K116" s="2048"/>
      <c r="L116" s="2052"/>
      <c r="M116" s="2054"/>
      <c r="N116" s="2056"/>
      <c r="O116" s="2058"/>
      <c r="P116" s="2060"/>
      <c r="Q116" s="2060"/>
      <c r="R116" s="2060"/>
      <c r="S116" s="2060"/>
      <c r="T116" s="2060"/>
      <c r="U116" s="2060"/>
      <c r="V116" s="2060"/>
      <c r="W116" s="2060"/>
      <c r="X116" s="2060"/>
      <c r="Y116" s="2060"/>
      <c r="Z116" s="2070"/>
      <c r="AA116" s="2071"/>
    </row>
    <row r="117" spans="1:27" ht="16.5" customHeight="1">
      <c r="A117" s="2039"/>
      <c r="B117" s="2076" t="s">
        <v>377</v>
      </c>
      <c r="C117" s="2077"/>
      <c r="D117" s="2077"/>
      <c r="E117" s="2077"/>
      <c r="F117" s="2077"/>
      <c r="G117" s="2077"/>
      <c r="H117" s="2077"/>
      <c r="I117" s="2078"/>
      <c r="J117" s="2049"/>
      <c r="K117" s="2048"/>
      <c r="L117" s="2052"/>
      <c r="M117" s="2085" t="s">
        <v>143</v>
      </c>
      <c r="N117" s="2086">
        <f>SUM(P117:Y120)</f>
        <v>609378</v>
      </c>
      <c r="O117" s="2058" t="s">
        <v>112</v>
      </c>
      <c r="P117" s="2087">
        <v>298891</v>
      </c>
      <c r="Q117" s="2087">
        <v>297527</v>
      </c>
      <c r="R117" s="2087">
        <v>12960</v>
      </c>
      <c r="S117" s="2087">
        <v>0</v>
      </c>
      <c r="T117" s="2087">
        <v>0</v>
      </c>
      <c r="U117" s="2087">
        <v>0</v>
      </c>
      <c r="V117" s="2087">
        <v>0</v>
      </c>
      <c r="W117" s="2087">
        <v>0</v>
      </c>
      <c r="X117" s="2087">
        <v>0</v>
      </c>
      <c r="Y117" s="2087">
        <v>0</v>
      </c>
      <c r="Z117" s="2092"/>
      <c r="AA117" s="2093"/>
    </row>
    <row r="118" spans="1:27" ht="16.5" customHeight="1">
      <c r="A118" s="2039"/>
      <c r="B118" s="2079"/>
      <c r="C118" s="2080"/>
      <c r="D118" s="2080"/>
      <c r="E118" s="2080"/>
      <c r="F118" s="2080"/>
      <c r="G118" s="2080"/>
      <c r="H118" s="2080"/>
      <c r="I118" s="2081"/>
      <c r="J118" s="2049"/>
      <c r="K118" s="2048"/>
      <c r="L118" s="2052"/>
      <c r="M118" s="2085"/>
      <c r="N118" s="2058"/>
      <c r="O118" s="2058"/>
      <c r="P118" s="2087"/>
      <c r="Q118" s="2087"/>
      <c r="R118" s="2087"/>
      <c r="S118" s="2087"/>
      <c r="T118" s="2087"/>
      <c r="U118" s="2087"/>
      <c r="V118" s="2087"/>
      <c r="W118" s="2087"/>
      <c r="X118" s="2087"/>
      <c r="Y118" s="2087"/>
      <c r="Z118" s="2061"/>
      <c r="AA118" s="2062"/>
    </row>
    <row r="119" spans="1:27" ht="16.5" customHeight="1">
      <c r="A119" s="2039"/>
      <c r="B119" s="2079"/>
      <c r="C119" s="2080"/>
      <c r="D119" s="2080"/>
      <c r="E119" s="2080"/>
      <c r="F119" s="2080"/>
      <c r="G119" s="2080"/>
      <c r="H119" s="2080"/>
      <c r="I119" s="2081"/>
      <c r="J119" s="2049"/>
      <c r="K119" s="2048"/>
      <c r="L119" s="2089">
        <v>197152.25</v>
      </c>
      <c r="M119" s="2085"/>
      <c r="N119" s="2058"/>
      <c r="O119" s="2058"/>
      <c r="P119" s="2087"/>
      <c r="Q119" s="2087"/>
      <c r="R119" s="2087"/>
      <c r="S119" s="2087"/>
      <c r="T119" s="2087"/>
      <c r="U119" s="2087"/>
      <c r="V119" s="2087"/>
      <c r="W119" s="2087"/>
      <c r="X119" s="2087"/>
      <c r="Y119" s="2087"/>
      <c r="Z119" s="2061" t="s">
        <v>154</v>
      </c>
      <c r="AA119" s="2062">
        <f>P113</f>
        <v>351636</v>
      </c>
    </row>
    <row r="120" spans="1:27" ht="6" customHeight="1">
      <c r="A120" s="2039"/>
      <c r="B120" s="2082"/>
      <c r="C120" s="2083"/>
      <c r="D120" s="2083"/>
      <c r="E120" s="2083"/>
      <c r="F120" s="2083"/>
      <c r="G120" s="2083"/>
      <c r="H120" s="2083"/>
      <c r="I120" s="2084"/>
      <c r="J120" s="2049"/>
      <c r="K120" s="2048"/>
      <c r="L120" s="2089"/>
      <c r="M120" s="2085"/>
      <c r="N120" s="2058"/>
      <c r="O120" s="2058"/>
      <c r="P120" s="2087"/>
      <c r="Q120" s="2087"/>
      <c r="R120" s="2087"/>
      <c r="S120" s="2087"/>
      <c r="T120" s="2087"/>
      <c r="U120" s="2087"/>
      <c r="V120" s="2087"/>
      <c r="W120" s="2087"/>
      <c r="X120" s="2087"/>
      <c r="Y120" s="2087"/>
      <c r="Z120" s="2061"/>
      <c r="AA120" s="2062"/>
    </row>
    <row r="121" spans="1:27" ht="16.5" customHeight="1">
      <c r="A121" s="2039"/>
      <c r="B121" s="2028" t="s">
        <v>344</v>
      </c>
      <c r="C121" s="2029"/>
      <c r="D121" s="2029"/>
      <c r="E121" s="2029"/>
      <c r="F121" s="2029"/>
      <c r="G121" s="2029"/>
      <c r="H121" s="2029"/>
      <c r="I121" s="2030"/>
      <c r="J121" s="2048"/>
      <c r="K121" s="2048"/>
      <c r="L121" s="2089"/>
      <c r="M121" s="2034" t="s">
        <v>374</v>
      </c>
      <c r="N121" s="2086">
        <f>SUM(P121:Y124)</f>
        <v>107537</v>
      </c>
      <c r="O121" s="2058" t="s">
        <v>112</v>
      </c>
      <c r="P121" s="2087">
        <v>52745</v>
      </c>
      <c r="Q121" s="2087">
        <v>52505</v>
      </c>
      <c r="R121" s="2087">
        <v>2287</v>
      </c>
      <c r="S121" s="2087">
        <v>0</v>
      </c>
      <c r="T121" s="2087">
        <v>0</v>
      </c>
      <c r="U121" s="2087">
        <v>0</v>
      </c>
      <c r="V121" s="2087">
        <v>0</v>
      </c>
      <c r="W121" s="2087">
        <v>0</v>
      </c>
      <c r="X121" s="2087">
        <v>0</v>
      </c>
      <c r="Y121" s="2087">
        <v>0</v>
      </c>
      <c r="Z121" s="2061" t="s">
        <v>345</v>
      </c>
      <c r="AA121" s="2062">
        <f>Q113</f>
        <v>350032</v>
      </c>
    </row>
    <row r="122" spans="1:27" ht="16.5" customHeight="1">
      <c r="A122" s="2039"/>
      <c r="B122" s="2028"/>
      <c r="C122" s="2029"/>
      <c r="D122" s="2029"/>
      <c r="E122" s="2029"/>
      <c r="F122" s="2029"/>
      <c r="G122" s="2029"/>
      <c r="H122" s="2029"/>
      <c r="I122" s="2030"/>
      <c r="J122" s="2048"/>
      <c r="K122" s="2048"/>
      <c r="L122" s="2089"/>
      <c r="M122" s="2035"/>
      <c r="N122" s="2058"/>
      <c r="O122" s="2058"/>
      <c r="P122" s="2087"/>
      <c r="Q122" s="2087"/>
      <c r="R122" s="2087"/>
      <c r="S122" s="2087"/>
      <c r="T122" s="2087"/>
      <c r="U122" s="2087"/>
      <c r="V122" s="2087"/>
      <c r="W122" s="2087"/>
      <c r="X122" s="2087"/>
      <c r="Y122" s="2087"/>
      <c r="Z122" s="2061"/>
      <c r="AA122" s="2062"/>
    </row>
    <row r="123" spans="1:27" ht="9.75" customHeight="1">
      <c r="A123" s="2039"/>
      <c r="B123" s="2028"/>
      <c r="C123" s="2029"/>
      <c r="D123" s="2029"/>
      <c r="E123" s="2029"/>
      <c r="F123" s="2029"/>
      <c r="G123" s="2029"/>
      <c r="H123" s="2029"/>
      <c r="I123" s="2030"/>
      <c r="J123" s="2048"/>
      <c r="K123" s="2048"/>
      <c r="L123" s="2089"/>
      <c r="M123" s="2035"/>
      <c r="N123" s="2058"/>
      <c r="O123" s="2058"/>
      <c r="P123" s="2087"/>
      <c r="Q123" s="2087"/>
      <c r="R123" s="2087"/>
      <c r="S123" s="2087"/>
      <c r="T123" s="2087"/>
      <c r="U123" s="2087"/>
      <c r="V123" s="2087"/>
      <c r="W123" s="2087"/>
      <c r="X123" s="2087"/>
      <c r="Y123" s="2087"/>
      <c r="Z123" s="2061" t="s">
        <v>346</v>
      </c>
      <c r="AA123" s="2062">
        <f>R113</f>
        <v>15247</v>
      </c>
    </row>
    <row r="124" spans="1:27" ht="8.25" customHeight="1" thickBot="1">
      <c r="A124" s="2040"/>
      <c r="B124" s="2031"/>
      <c r="C124" s="2032"/>
      <c r="D124" s="2032"/>
      <c r="E124" s="2032"/>
      <c r="F124" s="2032"/>
      <c r="G124" s="2032"/>
      <c r="H124" s="2032"/>
      <c r="I124" s="2033"/>
      <c r="J124" s="2050"/>
      <c r="K124" s="2050"/>
      <c r="L124" s="2090"/>
      <c r="M124" s="2036"/>
      <c r="N124" s="2091"/>
      <c r="O124" s="2091"/>
      <c r="P124" s="2088"/>
      <c r="Q124" s="2088"/>
      <c r="R124" s="2088"/>
      <c r="S124" s="2088"/>
      <c r="T124" s="2088"/>
      <c r="U124" s="2088"/>
      <c r="V124" s="2088"/>
      <c r="W124" s="2088"/>
      <c r="X124" s="2088"/>
      <c r="Y124" s="2088"/>
      <c r="Z124" s="2175"/>
      <c r="AA124" s="2062"/>
    </row>
    <row r="125" spans="1:27" ht="8.25" customHeight="1" thickTop="1" thickBot="1">
      <c r="A125" s="803"/>
      <c r="B125" s="804"/>
      <c r="C125" s="804"/>
      <c r="D125" s="804"/>
      <c r="E125" s="804"/>
      <c r="F125" s="804"/>
      <c r="G125" s="804"/>
      <c r="H125" s="804"/>
      <c r="I125" s="804"/>
      <c r="J125" s="805"/>
      <c r="K125" s="805"/>
      <c r="L125" s="814"/>
      <c r="M125" s="826"/>
      <c r="N125" s="805"/>
      <c r="O125" s="805"/>
      <c r="P125" s="656"/>
      <c r="Q125" s="656"/>
      <c r="R125" s="656"/>
      <c r="S125" s="656"/>
      <c r="T125" s="656"/>
      <c r="U125" s="656"/>
      <c r="V125" s="656"/>
      <c r="W125" s="656"/>
      <c r="X125" s="656"/>
      <c r="Y125" s="656"/>
      <c r="Z125" s="812"/>
      <c r="AA125" s="813"/>
    </row>
    <row r="126" spans="1:27" ht="13.5" customHeight="1" thickTop="1">
      <c r="A126" s="2037">
        <v>7</v>
      </c>
      <c r="B126" s="2041" t="s">
        <v>101</v>
      </c>
      <c r="C126" s="2042"/>
      <c r="D126" s="2042">
        <v>852</v>
      </c>
      <c r="E126" s="2042"/>
      <c r="F126" s="2045" t="s">
        <v>150</v>
      </c>
      <c r="G126" s="2045"/>
      <c r="H126" s="2045"/>
      <c r="I126" s="2045"/>
      <c r="J126" s="2047">
        <v>2012</v>
      </c>
      <c r="K126" s="2047">
        <v>2013</v>
      </c>
      <c r="L126" s="2051">
        <v>785385</v>
      </c>
      <c r="M126" s="2053" t="s">
        <v>120</v>
      </c>
      <c r="N126" s="2055">
        <f>SUM(N130:N137)</f>
        <v>601763.39</v>
      </c>
      <c r="O126" s="2057" t="s">
        <v>112</v>
      </c>
      <c r="P126" s="2059">
        <f>SUM(P130:P137)</f>
        <v>601763.39</v>
      </c>
      <c r="Q126" s="2059">
        <f>SUM(Q130:Q137)</f>
        <v>0</v>
      </c>
      <c r="R126" s="2059">
        <f>SUM(R130:R137)</f>
        <v>0</v>
      </c>
      <c r="S126" s="2059">
        <f t="shared" ref="S126:Y126" si="8">SUM(S130:S137)</f>
        <v>0</v>
      </c>
      <c r="T126" s="2059">
        <f t="shared" si="8"/>
        <v>0</v>
      </c>
      <c r="U126" s="2059">
        <f t="shared" si="8"/>
        <v>0</v>
      </c>
      <c r="V126" s="2059">
        <f t="shared" si="8"/>
        <v>0</v>
      </c>
      <c r="W126" s="2059">
        <f t="shared" si="8"/>
        <v>0</v>
      </c>
      <c r="X126" s="2059">
        <f t="shared" si="8"/>
        <v>0</v>
      </c>
      <c r="Y126" s="2059">
        <f t="shared" si="8"/>
        <v>0</v>
      </c>
      <c r="Z126" s="2066">
        <f>SUM(AA130:AA137)</f>
        <v>601763.39</v>
      </c>
      <c r="AA126" s="2067"/>
    </row>
    <row r="127" spans="1:27">
      <c r="A127" s="2038"/>
      <c r="B127" s="2043"/>
      <c r="C127" s="2044"/>
      <c r="D127" s="2044"/>
      <c r="E127" s="2044"/>
      <c r="F127" s="2046"/>
      <c r="G127" s="2046"/>
      <c r="H127" s="2046"/>
      <c r="I127" s="2046"/>
      <c r="J127" s="2048"/>
      <c r="K127" s="2048"/>
      <c r="L127" s="2052"/>
      <c r="M127" s="2054"/>
      <c r="N127" s="2056"/>
      <c r="O127" s="2058"/>
      <c r="P127" s="2060"/>
      <c r="Q127" s="2060"/>
      <c r="R127" s="2060"/>
      <c r="S127" s="2060"/>
      <c r="T127" s="2060"/>
      <c r="U127" s="2060"/>
      <c r="V127" s="2060"/>
      <c r="W127" s="2060"/>
      <c r="X127" s="2060"/>
      <c r="Y127" s="2060"/>
      <c r="Z127" s="2068"/>
      <c r="AA127" s="2069"/>
    </row>
    <row r="128" spans="1:27" ht="12.75" customHeight="1">
      <c r="A128" s="2038"/>
      <c r="B128" s="2072" t="s">
        <v>107</v>
      </c>
      <c r="C128" s="2058"/>
      <c r="D128" s="2058">
        <v>85295</v>
      </c>
      <c r="E128" s="2058"/>
      <c r="F128" s="2046" t="s">
        <v>130</v>
      </c>
      <c r="G128" s="2046"/>
      <c r="H128" s="2046"/>
      <c r="I128" s="2046"/>
      <c r="J128" s="2048"/>
      <c r="K128" s="2048"/>
      <c r="L128" s="2052"/>
      <c r="M128" s="2054"/>
      <c r="N128" s="2056"/>
      <c r="O128" s="2058"/>
      <c r="P128" s="2060"/>
      <c r="Q128" s="2060"/>
      <c r="R128" s="2060"/>
      <c r="S128" s="2060"/>
      <c r="T128" s="2060"/>
      <c r="U128" s="2060"/>
      <c r="V128" s="2060"/>
      <c r="W128" s="2060"/>
      <c r="X128" s="2060"/>
      <c r="Y128" s="2060"/>
      <c r="Z128" s="2068"/>
      <c r="AA128" s="2069"/>
    </row>
    <row r="129" spans="1:27">
      <c r="A129" s="2038"/>
      <c r="B129" s="2073"/>
      <c r="C129" s="2074"/>
      <c r="D129" s="2074"/>
      <c r="E129" s="2074"/>
      <c r="F129" s="2075"/>
      <c r="G129" s="2075"/>
      <c r="H129" s="2075"/>
      <c r="I129" s="2075"/>
      <c r="J129" s="2048"/>
      <c r="K129" s="2048"/>
      <c r="L129" s="2052"/>
      <c r="M129" s="2054"/>
      <c r="N129" s="2056"/>
      <c r="O129" s="2058"/>
      <c r="P129" s="2060"/>
      <c r="Q129" s="2060"/>
      <c r="R129" s="2060"/>
      <c r="S129" s="2060"/>
      <c r="T129" s="2060"/>
      <c r="U129" s="2060"/>
      <c r="V129" s="2060"/>
      <c r="W129" s="2060"/>
      <c r="X129" s="2060"/>
      <c r="Y129" s="2060"/>
      <c r="Z129" s="2070"/>
      <c r="AA129" s="2071"/>
    </row>
    <row r="130" spans="1:27" ht="12.75" customHeight="1">
      <c r="A130" s="2039"/>
      <c r="B130" s="2076" t="s">
        <v>361</v>
      </c>
      <c r="C130" s="2077"/>
      <c r="D130" s="2077"/>
      <c r="E130" s="2077"/>
      <c r="F130" s="2077"/>
      <c r="G130" s="2077"/>
      <c r="H130" s="2077"/>
      <c r="I130" s="2078"/>
      <c r="J130" s="2049"/>
      <c r="K130" s="2048"/>
      <c r="L130" s="2052"/>
      <c r="M130" s="2085" t="s">
        <v>143</v>
      </c>
      <c r="N130" s="2086">
        <f>SUM(P130:Y133)</f>
        <v>511498.88</v>
      </c>
      <c r="O130" s="2058" t="s">
        <v>112</v>
      </c>
      <c r="P130" s="2087">
        <v>511498.88</v>
      </c>
      <c r="Q130" s="2087">
        <v>0</v>
      </c>
      <c r="R130" s="2087">
        <v>0</v>
      </c>
      <c r="S130" s="2087">
        <v>0</v>
      </c>
      <c r="T130" s="2087">
        <v>0</v>
      </c>
      <c r="U130" s="2087">
        <v>0</v>
      </c>
      <c r="V130" s="2087">
        <v>0</v>
      </c>
      <c r="W130" s="2087">
        <v>0</v>
      </c>
      <c r="X130" s="2087">
        <v>0</v>
      </c>
      <c r="Y130" s="2087">
        <v>0</v>
      </c>
      <c r="Z130" s="2092"/>
      <c r="AA130" s="2093"/>
    </row>
    <row r="131" spans="1:27">
      <c r="A131" s="2039"/>
      <c r="B131" s="2079"/>
      <c r="C131" s="2080"/>
      <c r="D131" s="2080"/>
      <c r="E131" s="2080"/>
      <c r="F131" s="2080"/>
      <c r="G131" s="2080"/>
      <c r="H131" s="2080"/>
      <c r="I131" s="2081"/>
      <c r="J131" s="2049"/>
      <c r="K131" s="2048"/>
      <c r="L131" s="2052"/>
      <c r="M131" s="2085"/>
      <c r="N131" s="2058"/>
      <c r="O131" s="2058"/>
      <c r="P131" s="2087"/>
      <c r="Q131" s="2087"/>
      <c r="R131" s="2087"/>
      <c r="S131" s="2087"/>
      <c r="T131" s="2087"/>
      <c r="U131" s="2087"/>
      <c r="V131" s="2087"/>
      <c r="W131" s="2087"/>
      <c r="X131" s="2087"/>
      <c r="Y131" s="2087"/>
      <c r="Z131" s="2061"/>
      <c r="AA131" s="2062"/>
    </row>
    <row r="132" spans="1:27" ht="0.75" customHeight="1">
      <c r="A132" s="2039"/>
      <c r="B132" s="2079"/>
      <c r="C132" s="2080"/>
      <c r="D132" s="2080"/>
      <c r="E132" s="2080"/>
      <c r="F132" s="2080"/>
      <c r="G132" s="2080"/>
      <c r="H132" s="2080"/>
      <c r="I132" s="2081"/>
      <c r="J132" s="2049"/>
      <c r="K132" s="2048"/>
      <c r="L132" s="2089">
        <v>183621.61</v>
      </c>
      <c r="M132" s="2085"/>
      <c r="N132" s="2058"/>
      <c r="O132" s="2058"/>
      <c r="P132" s="2087"/>
      <c r="Q132" s="2087"/>
      <c r="R132" s="2087"/>
      <c r="S132" s="2087"/>
      <c r="T132" s="2087"/>
      <c r="U132" s="2087"/>
      <c r="V132" s="2087"/>
      <c r="W132" s="2087"/>
      <c r="X132" s="2087"/>
      <c r="Y132" s="2087"/>
      <c r="Z132" s="2061" t="s">
        <v>154</v>
      </c>
      <c r="AA132" s="2062">
        <f>P126</f>
        <v>601763.39</v>
      </c>
    </row>
    <row r="133" spans="1:27">
      <c r="A133" s="2039"/>
      <c r="B133" s="2082"/>
      <c r="C133" s="2083"/>
      <c r="D133" s="2083"/>
      <c r="E133" s="2083"/>
      <c r="F133" s="2083"/>
      <c r="G133" s="2083"/>
      <c r="H133" s="2083"/>
      <c r="I133" s="2084"/>
      <c r="J133" s="2049"/>
      <c r="K133" s="2048"/>
      <c r="L133" s="2089"/>
      <c r="M133" s="2085"/>
      <c r="N133" s="2058"/>
      <c r="O133" s="2058"/>
      <c r="P133" s="2087"/>
      <c r="Q133" s="2087"/>
      <c r="R133" s="2087"/>
      <c r="S133" s="2087"/>
      <c r="T133" s="2087"/>
      <c r="U133" s="2087"/>
      <c r="V133" s="2087"/>
      <c r="W133" s="2087"/>
      <c r="X133" s="2087"/>
      <c r="Y133" s="2087"/>
      <c r="Z133" s="2061"/>
      <c r="AA133" s="2062"/>
    </row>
    <row r="134" spans="1:27" ht="9" customHeight="1">
      <c r="A134" s="2039"/>
      <c r="B134" s="2028" t="s">
        <v>362</v>
      </c>
      <c r="C134" s="2029"/>
      <c r="D134" s="2029"/>
      <c r="E134" s="2029"/>
      <c r="F134" s="2029"/>
      <c r="G134" s="2029"/>
      <c r="H134" s="2029"/>
      <c r="I134" s="2030"/>
      <c r="J134" s="2048"/>
      <c r="K134" s="2048"/>
      <c r="L134" s="2089"/>
      <c r="M134" s="2034" t="s">
        <v>373</v>
      </c>
      <c r="N134" s="2086">
        <f>SUM(P134:Y137)</f>
        <v>90264.51</v>
      </c>
      <c r="O134" s="2058" t="s">
        <v>112</v>
      </c>
      <c r="P134" s="2087">
        <v>90264.51</v>
      </c>
      <c r="Q134" s="2087">
        <v>0</v>
      </c>
      <c r="R134" s="2087">
        <v>0</v>
      </c>
      <c r="S134" s="2087">
        <v>0</v>
      </c>
      <c r="T134" s="2087">
        <v>0</v>
      </c>
      <c r="U134" s="2087">
        <v>0</v>
      </c>
      <c r="V134" s="2087">
        <v>0</v>
      </c>
      <c r="W134" s="2087">
        <v>0</v>
      </c>
      <c r="X134" s="2087">
        <v>0</v>
      </c>
      <c r="Y134" s="2087">
        <v>0</v>
      </c>
      <c r="Z134" s="2061" t="s">
        <v>345</v>
      </c>
      <c r="AA134" s="2062">
        <f>Q126</f>
        <v>0</v>
      </c>
    </row>
    <row r="135" spans="1:27" ht="11.25" customHeight="1">
      <c r="A135" s="2039"/>
      <c r="B135" s="2028"/>
      <c r="C135" s="2029"/>
      <c r="D135" s="2029"/>
      <c r="E135" s="2029"/>
      <c r="F135" s="2029"/>
      <c r="G135" s="2029"/>
      <c r="H135" s="2029"/>
      <c r="I135" s="2030"/>
      <c r="J135" s="2048"/>
      <c r="K135" s="2048"/>
      <c r="L135" s="2089"/>
      <c r="M135" s="2035"/>
      <c r="N135" s="2058"/>
      <c r="O135" s="2058"/>
      <c r="P135" s="2087"/>
      <c r="Q135" s="2087"/>
      <c r="R135" s="2087"/>
      <c r="S135" s="2087"/>
      <c r="T135" s="2087"/>
      <c r="U135" s="2087"/>
      <c r="V135" s="2087"/>
      <c r="W135" s="2087"/>
      <c r="X135" s="2087"/>
      <c r="Y135" s="2087"/>
      <c r="Z135" s="2061"/>
      <c r="AA135" s="2062"/>
    </row>
    <row r="136" spans="1:27" ht="10.5" customHeight="1">
      <c r="A136" s="2039"/>
      <c r="B136" s="2028"/>
      <c r="C136" s="2029"/>
      <c r="D136" s="2029"/>
      <c r="E136" s="2029"/>
      <c r="F136" s="2029"/>
      <c r="G136" s="2029"/>
      <c r="H136" s="2029"/>
      <c r="I136" s="2030"/>
      <c r="J136" s="2048"/>
      <c r="K136" s="2048"/>
      <c r="L136" s="2089"/>
      <c r="M136" s="2035"/>
      <c r="N136" s="2058"/>
      <c r="O136" s="2058"/>
      <c r="P136" s="2087"/>
      <c r="Q136" s="2087"/>
      <c r="R136" s="2087"/>
      <c r="S136" s="2087"/>
      <c r="T136" s="2087"/>
      <c r="U136" s="2087"/>
      <c r="V136" s="2087"/>
      <c r="W136" s="2087"/>
      <c r="X136" s="2087"/>
      <c r="Y136" s="2087"/>
      <c r="Z136" s="2061" t="s">
        <v>346</v>
      </c>
      <c r="AA136" s="2062">
        <f>R126</f>
        <v>0</v>
      </c>
    </row>
    <row r="137" spans="1:27" ht="21.75" customHeight="1" thickBot="1">
      <c r="A137" s="2040"/>
      <c r="B137" s="2031"/>
      <c r="C137" s="2032"/>
      <c r="D137" s="2032"/>
      <c r="E137" s="2032"/>
      <c r="F137" s="2032"/>
      <c r="G137" s="2032"/>
      <c r="H137" s="2032"/>
      <c r="I137" s="2033"/>
      <c r="J137" s="2050"/>
      <c r="K137" s="2050"/>
      <c r="L137" s="2090"/>
      <c r="M137" s="2036"/>
      <c r="N137" s="2091"/>
      <c r="O137" s="2091"/>
      <c r="P137" s="2088"/>
      <c r="Q137" s="2088"/>
      <c r="R137" s="2088"/>
      <c r="S137" s="2088"/>
      <c r="T137" s="2088"/>
      <c r="U137" s="2088"/>
      <c r="V137" s="2088"/>
      <c r="W137" s="2088"/>
      <c r="X137" s="2088"/>
      <c r="Y137" s="2088"/>
      <c r="Z137" s="2175"/>
      <c r="AA137" s="2196"/>
    </row>
    <row r="138" spans="1:27" ht="15" customHeight="1" thickTop="1" thickBot="1">
      <c r="A138" s="803"/>
      <c r="B138" s="804"/>
      <c r="C138" s="804"/>
      <c r="D138" s="804"/>
      <c r="E138" s="804"/>
      <c r="F138" s="804"/>
      <c r="G138" s="804"/>
      <c r="H138" s="804"/>
      <c r="I138" s="804"/>
      <c r="J138" s="805"/>
      <c r="K138" s="805"/>
      <c r="L138" s="811"/>
      <c r="M138" s="825"/>
      <c r="N138" s="805"/>
      <c r="O138" s="805"/>
      <c r="P138" s="656"/>
      <c r="Q138" s="656"/>
      <c r="R138" s="656"/>
      <c r="S138" s="656"/>
      <c r="T138" s="656"/>
      <c r="U138" s="656"/>
      <c r="V138" s="656"/>
      <c r="W138" s="656"/>
      <c r="X138" s="656"/>
      <c r="Y138" s="656"/>
      <c r="Z138" s="812"/>
      <c r="AA138" s="827"/>
    </row>
    <row r="139" spans="1:27" ht="13.5" customHeight="1" thickTop="1">
      <c r="A139" s="2037">
        <v>8</v>
      </c>
      <c r="B139" s="2041" t="s">
        <v>101</v>
      </c>
      <c r="C139" s="2042"/>
      <c r="D139" s="2042">
        <v>853</v>
      </c>
      <c r="E139" s="2042"/>
      <c r="F139" s="2045" t="s">
        <v>387</v>
      </c>
      <c r="G139" s="2045"/>
      <c r="H139" s="2045"/>
      <c r="I139" s="2045"/>
      <c r="J139" s="2047">
        <v>2012</v>
      </c>
      <c r="K139" s="2047">
        <v>2014</v>
      </c>
      <c r="L139" s="2051">
        <v>295266</v>
      </c>
      <c r="M139" s="2053" t="s">
        <v>120</v>
      </c>
      <c r="N139" s="2055">
        <f>SUM(N143:N150)</f>
        <v>258010</v>
      </c>
      <c r="O139" s="2057" t="s">
        <v>112</v>
      </c>
      <c r="P139" s="2059">
        <f>SUM(P143:P150)</f>
        <v>163087</v>
      </c>
      <c r="Q139" s="2059">
        <f>SUM(Q143:Q150)</f>
        <v>94923</v>
      </c>
      <c r="R139" s="2059">
        <f>SUM(R143:R150)</f>
        <v>0</v>
      </c>
      <c r="S139" s="2059">
        <f t="shared" ref="S139:Y139" si="9">SUM(S143:S150)</f>
        <v>0</v>
      </c>
      <c r="T139" s="2059">
        <f t="shared" si="9"/>
        <v>0</v>
      </c>
      <c r="U139" s="2059">
        <f t="shared" si="9"/>
        <v>0</v>
      </c>
      <c r="V139" s="2059">
        <f t="shared" si="9"/>
        <v>0</v>
      </c>
      <c r="W139" s="2059">
        <f t="shared" si="9"/>
        <v>0</v>
      </c>
      <c r="X139" s="2059">
        <f t="shared" si="9"/>
        <v>0</v>
      </c>
      <c r="Y139" s="2059">
        <f t="shared" si="9"/>
        <v>0</v>
      </c>
      <c r="Z139" s="2066">
        <f>SUM(AA143:AA150)</f>
        <v>258010</v>
      </c>
      <c r="AA139" s="2067"/>
    </row>
    <row r="140" spans="1:27">
      <c r="A140" s="2038"/>
      <c r="B140" s="2043"/>
      <c r="C140" s="2044"/>
      <c r="D140" s="2044"/>
      <c r="E140" s="2044"/>
      <c r="F140" s="2046"/>
      <c r="G140" s="2046"/>
      <c r="H140" s="2046"/>
      <c r="I140" s="2046"/>
      <c r="J140" s="2048"/>
      <c r="K140" s="2048"/>
      <c r="L140" s="2052"/>
      <c r="M140" s="2054"/>
      <c r="N140" s="2056"/>
      <c r="O140" s="2058"/>
      <c r="P140" s="2060"/>
      <c r="Q140" s="2060"/>
      <c r="R140" s="2060"/>
      <c r="S140" s="2060"/>
      <c r="T140" s="2060"/>
      <c r="U140" s="2060"/>
      <c r="V140" s="2060"/>
      <c r="W140" s="2060"/>
      <c r="X140" s="2060"/>
      <c r="Y140" s="2060"/>
      <c r="Z140" s="2068"/>
      <c r="AA140" s="2069"/>
    </row>
    <row r="141" spans="1:27" ht="12.75" customHeight="1">
      <c r="A141" s="2038"/>
      <c r="B141" s="2072" t="s">
        <v>107</v>
      </c>
      <c r="C141" s="2058"/>
      <c r="D141" s="2058">
        <v>85305</v>
      </c>
      <c r="E141" s="2058"/>
      <c r="F141" s="2046" t="s">
        <v>388</v>
      </c>
      <c r="G141" s="2046"/>
      <c r="H141" s="2046"/>
      <c r="I141" s="2046"/>
      <c r="J141" s="2048"/>
      <c r="K141" s="2048"/>
      <c r="L141" s="2052"/>
      <c r="M141" s="2054"/>
      <c r="N141" s="2056"/>
      <c r="O141" s="2058"/>
      <c r="P141" s="2060"/>
      <c r="Q141" s="2060"/>
      <c r="R141" s="2060"/>
      <c r="S141" s="2060"/>
      <c r="T141" s="2060"/>
      <c r="U141" s="2060"/>
      <c r="V141" s="2060"/>
      <c r="W141" s="2060"/>
      <c r="X141" s="2060"/>
      <c r="Y141" s="2060"/>
      <c r="Z141" s="2068"/>
      <c r="AA141" s="2069"/>
    </row>
    <row r="142" spans="1:27">
      <c r="A142" s="2038"/>
      <c r="B142" s="2073"/>
      <c r="C142" s="2074"/>
      <c r="D142" s="2074"/>
      <c r="E142" s="2074"/>
      <c r="F142" s="2075"/>
      <c r="G142" s="2075"/>
      <c r="H142" s="2075"/>
      <c r="I142" s="2075"/>
      <c r="J142" s="2048"/>
      <c r="K142" s="2048"/>
      <c r="L142" s="2052"/>
      <c r="M142" s="2054"/>
      <c r="N142" s="2056"/>
      <c r="O142" s="2058"/>
      <c r="P142" s="2060"/>
      <c r="Q142" s="2060"/>
      <c r="R142" s="2060"/>
      <c r="S142" s="2060"/>
      <c r="T142" s="2060"/>
      <c r="U142" s="2060"/>
      <c r="V142" s="2060"/>
      <c r="W142" s="2060"/>
      <c r="X142" s="2060"/>
      <c r="Y142" s="2060"/>
      <c r="Z142" s="2070"/>
      <c r="AA142" s="2071"/>
    </row>
    <row r="143" spans="1:27" ht="12.75" customHeight="1">
      <c r="A143" s="2039"/>
      <c r="B143" s="2076" t="s">
        <v>385</v>
      </c>
      <c r="C143" s="2077"/>
      <c r="D143" s="2077"/>
      <c r="E143" s="2077"/>
      <c r="F143" s="2077"/>
      <c r="G143" s="2077"/>
      <c r="H143" s="2077"/>
      <c r="I143" s="2078"/>
      <c r="J143" s="2049"/>
      <c r="K143" s="2048"/>
      <c r="L143" s="2052"/>
      <c r="M143" s="2085" t="s">
        <v>143</v>
      </c>
      <c r="N143" s="2086">
        <f>SUM(P143:Y146)</f>
        <v>219308</v>
      </c>
      <c r="O143" s="2058" t="s">
        <v>112</v>
      </c>
      <c r="P143" s="2087">
        <v>138623</v>
      </c>
      <c r="Q143" s="2087">
        <v>80685</v>
      </c>
      <c r="R143" s="2087">
        <v>0</v>
      </c>
      <c r="S143" s="2087">
        <v>0</v>
      </c>
      <c r="T143" s="2087">
        <v>0</v>
      </c>
      <c r="U143" s="2087">
        <v>0</v>
      </c>
      <c r="V143" s="2087">
        <v>0</v>
      </c>
      <c r="W143" s="2087">
        <v>0</v>
      </c>
      <c r="X143" s="2087">
        <v>0</v>
      </c>
      <c r="Y143" s="2087">
        <v>0</v>
      </c>
      <c r="Z143" s="2092"/>
      <c r="AA143" s="2093"/>
    </row>
    <row r="144" spans="1:27">
      <c r="A144" s="2039"/>
      <c r="B144" s="2079"/>
      <c r="C144" s="2080"/>
      <c r="D144" s="2080"/>
      <c r="E144" s="2080"/>
      <c r="F144" s="2080"/>
      <c r="G144" s="2080"/>
      <c r="H144" s="2080"/>
      <c r="I144" s="2081"/>
      <c r="J144" s="2049"/>
      <c r="K144" s="2048"/>
      <c r="L144" s="2052"/>
      <c r="M144" s="2085"/>
      <c r="N144" s="2058"/>
      <c r="O144" s="2058"/>
      <c r="P144" s="2087"/>
      <c r="Q144" s="2087"/>
      <c r="R144" s="2087"/>
      <c r="S144" s="2087"/>
      <c r="T144" s="2087"/>
      <c r="U144" s="2087"/>
      <c r="V144" s="2087"/>
      <c r="W144" s="2087"/>
      <c r="X144" s="2087"/>
      <c r="Y144" s="2087"/>
      <c r="Z144" s="2061"/>
      <c r="AA144" s="2062"/>
    </row>
    <row r="145" spans="1:27">
      <c r="A145" s="2039"/>
      <c r="B145" s="2079"/>
      <c r="C145" s="2080"/>
      <c r="D145" s="2080"/>
      <c r="E145" s="2080"/>
      <c r="F145" s="2080"/>
      <c r="G145" s="2080"/>
      <c r="H145" s="2080"/>
      <c r="I145" s="2081"/>
      <c r="J145" s="2049"/>
      <c r="K145" s="2048"/>
      <c r="L145" s="2089">
        <v>37256</v>
      </c>
      <c r="M145" s="2085"/>
      <c r="N145" s="2058"/>
      <c r="O145" s="2058"/>
      <c r="P145" s="2087"/>
      <c r="Q145" s="2087"/>
      <c r="R145" s="2087"/>
      <c r="S145" s="2087"/>
      <c r="T145" s="2087"/>
      <c r="U145" s="2087"/>
      <c r="V145" s="2087"/>
      <c r="W145" s="2087"/>
      <c r="X145" s="2087"/>
      <c r="Y145" s="2087"/>
      <c r="Z145" s="2061" t="s">
        <v>154</v>
      </c>
      <c r="AA145" s="2062">
        <f>P139</f>
        <v>163087</v>
      </c>
    </row>
    <row r="146" spans="1:27">
      <c r="A146" s="2039"/>
      <c r="B146" s="2082"/>
      <c r="C146" s="2083"/>
      <c r="D146" s="2083"/>
      <c r="E146" s="2083"/>
      <c r="F146" s="2083"/>
      <c r="G146" s="2083"/>
      <c r="H146" s="2083"/>
      <c r="I146" s="2084"/>
      <c r="J146" s="2049"/>
      <c r="K146" s="2048"/>
      <c r="L146" s="2089"/>
      <c r="M146" s="2085"/>
      <c r="N146" s="2058"/>
      <c r="O146" s="2058"/>
      <c r="P146" s="2087"/>
      <c r="Q146" s="2087"/>
      <c r="R146" s="2087"/>
      <c r="S146" s="2087"/>
      <c r="T146" s="2087"/>
      <c r="U146" s="2087"/>
      <c r="V146" s="2087"/>
      <c r="W146" s="2087"/>
      <c r="X146" s="2087"/>
      <c r="Y146" s="2087"/>
      <c r="Z146" s="2061"/>
      <c r="AA146" s="2062"/>
    </row>
    <row r="147" spans="1:27" ht="12.75" customHeight="1">
      <c r="A147" s="2039"/>
      <c r="B147" s="2028" t="s">
        <v>386</v>
      </c>
      <c r="C147" s="2029"/>
      <c r="D147" s="2029"/>
      <c r="E147" s="2029"/>
      <c r="F147" s="2029"/>
      <c r="G147" s="2029"/>
      <c r="H147" s="2029"/>
      <c r="I147" s="2030"/>
      <c r="J147" s="2048"/>
      <c r="K147" s="2048"/>
      <c r="L147" s="2089"/>
      <c r="M147" s="2034" t="s">
        <v>123</v>
      </c>
      <c r="N147" s="2086">
        <f>SUM(P147:Y150)</f>
        <v>38702</v>
      </c>
      <c r="O147" s="2058" t="s">
        <v>112</v>
      </c>
      <c r="P147" s="2087">
        <v>24464</v>
      </c>
      <c r="Q147" s="2087">
        <v>14238</v>
      </c>
      <c r="R147" s="2087">
        <v>0</v>
      </c>
      <c r="S147" s="2087">
        <v>0</v>
      </c>
      <c r="T147" s="2087">
        <v>0</v>
      </c>
      <c r="U147" s="2087">
        <v>0</v>
      </c>
      <c r="V147" s="2087">
        <v>0</v>
      </c>
      <c r="W147" s="2087">
        <v>0</v>
      </c>
      <c r="X147" s="2087">
        <v>0</v>
      </c>
      <c r="Y147" s="2087">
        <v>0</v>
      </c>
      <c r="Z147" s="2061" t="s">
        <v>345</v>
      </c>
      <c r="AA147" s="2062">
        <f>Q139</f>
        <v>94923</v>
      </c>
    </row>
    <row r="148" spans="1:27">
      <c r="A148" s="2039"/>
      <c r="B148" s="2028"/>
      <c r="C148" s="2029"/>
      <c r="D148" s="2029"/>
      <c r="E148" s="2029"/>
      <c r="F148" s="2029"/>
      <c r="G148" s="2029"/>
      <c r="H148" s="2029"/>
      <c r="I148" s="2030"/>
      <c r="J148" s="2048"/>
      <c r="K148" s="2048"/>
      <c r="L148" s="2089"/>
      <c r="M148" s="2035"/>
      <c r="N148" s="2058"/>
      <c r="O148" s="2058"/>
      <c r="P148" s="2087"/>
      <c r="Q148" s="2087"/>
      <c r="R148" s="2087"/>
      <c r="S148" s="2087"/>
      <c r="T148" s="2087"/>
      <c r="U148" s="2087"/>
      <c r="V148" s="2087"/>
      <c r="W148" s="2087"/>
      <c r="X148" s="2087"/>
      <c r="Y148" s="2087"/>
      <c r="Z148" s="2061"/>
      <c r="AA148" s="2062"/>
    </row>
    <row r="149" spans="1:27">
      <c r="A149" s="2039"/>
      <c r="B149" s="2028"/>
      <c r="C149" s="2029"/>
      <c r="D149" s="2029"/>
      <c r="E149" s="2029"/>
      <c r="F149" s="2029"/>
      <c r="G149" s="2029"/>
      <c r="H149" s="2029"/>
      <c r="I149" s="2030"/>
      <c r="J149" s="2048"/>
      <c r="K149" s="2048"/>
      <c r="L149" s="2089"/>
      <c r="M149" s="2035"/>
      <c r="N149" s="2058"/>
      <c r="O149" s="2058"/>
      <c r="P149" s="2087"/>
      <c r="Q149" s="2087"/>
      <c r="R149" s="2087"/>
      <c r="S149" s="2087"/>
      <c r="T149" s="2087"/>
      <c r="U149" s="2087"/>
      <c r="V149" s="2087"/>
      <c r="W149" s="2087"/>
      <c r="X149" s="2087"/>
      <c r="Y149" s="2087"/>
      <c r="Z149" s="2063"/>
      <c r="AA149" s="2062"/>
    </row>
    <row r="150" spans="1:27" ht="13.5" thickBot="1">
      <c r="A150" s="2040"/>
      <c r="B150" s="2031"/>
      <c r="C150" s="2032"/>
      <c r="D150" s="2032"/>
      <c r="E150" s="2032"/>
      <c r="F150" s="2032"/>
      <c r="G150" s="2032"/>
      <c r="H150" s="2032"/>
      <c r="I150" s="2033"/>
      <c r="J150" s="2050"/>
      <c r="K150" s="2050"/>
      <c r="L150" s="2090"/>
      <c r="M150" s="2036"/>
      <c r="N150" s="2091"/>
      <c r="O150" s="2091"/>
      <c r="P150" s="2088"/>
      <c r="Q150" s="2088"/>
      <c r="R150" s="2088"/>
      <c r="S150" s="2088"/>
      <c r="T150" s="2088"/>
      <c r="U150" s="2088"/>
      <c r="V150" s="2088"/>
      <c r="W150" s="2088"/>
      <c r="X150" s="2088"/>
      <c r="Y150" s="2088"/>
      <c r="Z150" s="2064"/>
      <c r="AA150" s="2065"/>
    </row>
    <row r="151" spans="1:27" ht="7.5" customHeight="1" thickTop="1" thickBot="1">
      <c r="A151" s="803"/>
      <c r="B151" s="804"/>
      <c r="C151" s="804"/>
      <c r="D151" s="804"/>
      <c r="E151" s="804"/>
      <c r="F151" s="804"/>
      <c r="G151" s="804"/>
      <c r="H151" s="804"/>
      <c r="I151" s="804"/>
      <c r="J151" s="805"/>
      <c r="K151" s="805"/>
      <c r="L151" s="814"/>
      <c r="M151" s="826"/>
      <c r="N151" s="805"/>
      <c r="O151" s="805"/>
      <c r="P151" s="656"/>
      <c r="Q151" s="656"/>
      <c r="R151" s="656"/>
      <c r="S151" s="656"/>
      <c r="T151" s="656"/>
      <c r="U151" s="656"/>
      <c r="V151" s="656"/>
      <c r="W151" s="656"/>
      <c r="X151" s="656"/>
      <c r="Y151" s="656"/>
      <c r="Z151" s="812"/>
      <c r="AA151" s="827"/>
    </row>
    <row r="152" spans="1:27" ht="13.5" customHeight="1" thickTop="1">
      <c r="A152" s="2037">
        <v>9</v>
      </c>
      <c r="B152" s="2041" t="s">
        <v>101</v>
      </c>
      <c r="C152" s="2042"/>
      <c r="D152" s="2042">
        <v>853</v>
      </c>
      <c r="E152" s="2042"/>
      <c r="F152" s="2045" t="s">
        <v>387</v>
      </c>
      <c r="G152" s="2045"/>
      <c r="H152" s="2045"/>
      <c r="I152" s="2045"/>
      <c r="J152" s="2047">
        <v>2012</v>
      </c>
      <c r="K152" s="2047">
        <v>2014</v>
      </c>
      <c r="L152" s="2051">
        <v>193269</v>
      </c>
      <c r="M152" s="2053" t="s">
        <v>120</v>
      </c>
      <c r="N152" s="2055">
        <f>SUM(N156:N163)</f>
        <v>172729</v>
      </c>
      <c r="O152" s="2057" t="s">
        <v>112</v>
      </c>
      <c r="P152" s="2059">
        <f>SUM(P156:P163)</f>
        <v>111205</v>
      </c>
      <c r="Q152" s="2059">
        <f>SUM(Q156:Q163)</f>
        <v>61524</v>
      </c>
      <c r="R152" s="2059">
        <f>SUM(R156:R163)</f>
        <v>0</v>
      </c>
      <c r="S152" s="2059">
        <f t="shared" ref="S152:Y152" si="10">SUM(S156:S163)</f>
        <v>0</v>
      </c>
      <c r="T152" s="2059">
        <f t="shared" si="10"/>
        <v>0</v>
      </c>
      <c r="U152" s="2059">
        <f t="shared" si="10"/>
        <v>0</v>
      </c>
      <c r="V152" s="2059">
        <f t="shared" si="10"/>
        <v>0</v>
      </c>
      <c r="W152" s="2059">
        <f t="shared" si="10"/>
        <v>0</v>
      </c>
      <c r="X152" s="2059">
        <f t="shared" si="10"/>
        <v>0</v>
      </c>
      <c r="Y152" s="2059">
        <f t="shared" si="10"/>
        <v>0</v>
      </c>
      <c r="Z152" s="2066">
        <f>SUM(AA156:AA163)</f>
        <v>172729</v>
      </c>
      <c r="AA152" s="2067"/>
    </row>
    <row r="153" spans="1:27">
      <c r="A153" s="2038"/>
      <c r="B153" s="2043"/>
      <c r="C153" s="2044"/>
      <c r="D153" s="2044"/>
      <c r="E153" s="2044"/>
      <c r="F153" s="2046"/>
      <c r="G153" s="2046"/>
      <c r="H153" s="2046"/>
      <c r="I153" s="2046"/>
      <c r="J153" s="2048"/>
      <c r="K153" s="2048"/>
      <c r="L153" s="2052"/>
      <c r="M153" s="2054"/>
      <c r="N153" s="2056"/>
      <c r="O153" s="2058"/>
      <c r="P153" s="2060"/>
      <c r="Q153" s="2060"/>
      <c r="R153" s="2060"/>
      <c r="S153" s="2060"/>
      <c r="T153" s="2060"/>
      <c r="U153" s="2060"/>
      <c r="V153" s="2060"/>
      <c r="W153" s="2060"/>
      <c r="X153" s="2060"/>
      <c r="Y153" s="2060"/>
      <c r="Z153" s="2068"/>
      <c r="AA153" s="2069"/>
    </row>
    <row r="154" spans="1:27" ht="12.75" customHeight="1">
      <c r="A154" s="2038"/>
      <c r="B154" s="2072" t="s">
        <v>107</v>
      </c>
      <c r="C154" s="2058"/>
      <c r="D154" s="2058">
        <v>85306</v>
      </c>
      <c r="E154" s="2058"/>
      <c r="F154" s="2046" t="s">
        <v>389</v>
      </c>
      <c r="G154" s="2046"/>
      <c r="H154" s="2046"/>
      <c r="I154" s="2046"/>
      <c r="J154" s="2048"/>
      <c r="K154" s="2048"/>
      <c r="L154" s="2052"/>
      <c r="M154" s="2054"/>
      <c r="N154" s="2056"/>
      <c r="O154" s="2058"/>
      <c r="P154" s="2060"/>
      <c r="Q154" s="2060"/>
      <c r="R154" s="2060"/>
      <c r="S154" s="2060"/>
      <c r="T154" s="2060"/>
      <c r="U154" s="2060"/>
      <c r="V154" s="2060"/>
      <c r="W154" s="2060"/>
      <c r="X154" s="2060"/>
      <c r="Y154" s="2060"/>
      <c r="Z154" s="2068"/>
      <c r="AA154" s="2069"/>
    </row>
    <row r="155" spans="1:27">
      <c r="A155" s="2038"/>
      <c r="B155" s="2073"/>
      <c r="C155" s="2074"/>
      <c r="D155" s="2074"/>
      <c r="E155" s="2074"/>
      <c r="F155" s="2075"/>
      <c r="G155" s="2075"/>
      <c r="H155" s="2075"/>
      <c r="I155" s="2075"/>
      <c r="J155" s="2048"/>
      <c r="K155" s="2048"/>
      <c r="L155" s="2052"/>
      <c r="M155" s="2054"/>
      <c r="N155" s="2056"/>
      <c r="O155" s="2058"/>
      <c r="P155" s="2060"/>
      <c r="Q155" s="2060"/>
      <c r="R155" s="2060"/>
      <c r="S155" s="2060"/>
      <c r="T155" s="2060"/>
      <c r="U155" s="2060"/>
      <c r="V155" s="2060"/>
      <c r="W155" s="2060"/>
      <c r="X155" s="2060"/>
      <c r="Y155" s="2060"/>
      <c r="Z155" s="2070"/>
      <c r="AA155" s="2071"/>
    </row>
    <row r="156" spans="1:27" ht="12.75" customHeight="1">
      <c r="A156" s="2039"/>
      <c r="B156" s="2076" t="s">
        <v>385</v>
      </c>
      <c r="C156" s="2077"/>
      <c r="D156" s="2077"/>
      <c r="E156" s="2077"/>
      <c r="F156" s="2077"/>
      <c r="G156" s="2077"/>
      <c r="H156" s="2077"/>
      <c r="I156" s="2078"/>
      <c r="J156" s="2049"/>
      <c r="K156" s="2048"/>
      <c r="L156" s="2052"/>
      <c r="M156" s="2085" t="s">
        <v>143</v>
      </c>
      <c r="N156" s="2086">
        <f>SUM(P156:Y159)</f>
        <v>146821</v>
      </c>
      <c r="O156" s="2058" t="s">
        <v>112</v>
      </c>
      <c r="P156" s="2087">
        <v>94526</v>
      </c>
      <c r="Q156" s="2087">
        <v>52295</v>
      </c>
      <c r="R156" s="2087">
        <v>0</v>
      </c>
      <c r="S156" s="2087">
        <v>0</v>
      </c>
      <c r="T156" s="2087">
        <v>0</v>
      </c>
      <c r="U156" s="2087">
        <v>0</v>
      </c>
      <c r="V156" s="2087">
        <v>0</v>
      </c>
      <c r="W156" s="2087">
        <v>0</v>
      </c>
      <c r="X156" s="2087">
        <v>0</v>
      </c>
      <c r="Y156" s="2087">
        <v>0</v>
      </c>
      <c r="Z156" s="2092"/>
      <c r="AA156" s="2093"/>
    </row>
    <row r="157" spans="1:27">
      <c r="A157" s="2039"/>
      <c r="B157" s="2079"/>
      <c r="C157" s="2080"/>
      <c r="D157" s="2080"/>
      <c r="E157" s="2080"/>
      <c r="F157" s="2080"/>
      <c r="G157" s="2080"/>
      <c r="H157" s="2080"/>
      <c r="I157" s="2081"/>
      <c r="J157" s="2049"/>
      <c r="K157" s="2048"/>
      <c r="L157" s="2052"/>
      <c r="M157" s="2085"/>
      <c r="N157" s="2058"/>
      <c r="O157" s="2058"/>
      <c r="P157" s="2087"/>
      <c r="Q157" s="2087"/>
      <c r="R157" s="2087"/>
      <c r="S157" s="2087"/>
      <c r="T157" s="2087"/>
      <c r="U157" s="2087"/>
      <c r="V157" s="2087"/>
      <c r="W157" s="2087"/>
      <c r="X157" s="2087"/>
      <c r="Y157" s="2087"/>
      <c r="Z157" s="2061"/>
      <c r="AA157" s="2062"/>
    </row>
    <row r="158" spans="1:27" ht="9.75" customHeight="1">
      <c r="A158" s="2039"/>
      <c r="B158" s="2079"/>
      <c r="C158" s="2080"/>
      <c r="D158" s="2080"/>
      <c r="E158" s="2080"/>
      <c r="F158" s="2080"/>
      <c r="G158" s="2080"/>
      <c r="H158" s="2080"/>
      <c r="I158" s="2081"/>
      <c r="J158" s="2049"/>
      <c r="K158" s="2048"/>
      <c r="L158" s="2089">
        <v>20540</v>
      </c>
      <c r="M158" s="2085"/>
      <c r="N158" s="2058"/>
      <c r="O158" s="2058"/>
      <c r="P158" s="2087"/>
      <c r="Q158" s="2087"/>
      <c r="R158" s="2087"/>
      <c r="S158" s="2087"/>
      <c r="T158" s="2087"/>
      <c r="U158" s="2087"/>
      <c r="V158" s="2087"/>
      <c r="W158" s="2087"/>
      <c r="X158" s="2087"/>
      <c r="Y158" s="2087"/>
      <c r="Z158" s="2061" t="s">
        <v>154</v>
      </c>
      <c r="AA158" s="2062">
        <f>P152</f>
        <v>111205</v>
      </c>
    </row>
    <row r="159" spans="1:27" ht="8.25" customHeight="1">
      <c r="A159" s="2039"/>
      <c r="B159" s="2082"/>
      <c r="C159" s="2083"/>
      <c r="D159" s="2083"/>
      <c r="E159" s="2083"/>
      <c r="F159" s="2083"/>
      <c r="G159" s="2083"/>
      <c r="H159" s="2083"/>
      <c r="I159" s="2084"/>
      <c r="J159" s="2049"/>
      <c r="K159" s="2048"/>
      <c r="L159" s="2089"/>
      <c r="M159" s="2085"/>
      <c r="N159" s="2058"/>
      <c r="O159" s="2058"/>
      <c r="P159" s="2087"/>
      <c r="Q159" s="2087"/>
      <c r="R159" s="2087"/>
      <c r="S159" s="2087"/>
      <c r="T159" s="2087"/>
      <c r="U159" s="2087"/>
      <c r="V159" s="2087"/>
      <c r="W159" s="2087"/>
      <c r="X159" s="2087"/>
      <c r="Y159" s="2087"/>
      <c r="Z159" s="2061"/>
      <c r="AA159" s="2062"/>
    </row>
    <row r="160" spans="1:27" ht="12.75" customHeight="1">
      <c r="A160" s="2039"/>
      <c r="B160" s="2028" t="s">
        <v>386</v>
      </c>
      <c r="C160" s="2029"/>
      <c r="D160" s="2029"/>
      <c r="E160" s="2029"/>
      <c r="F160" s="2029"/>
      <c r="G160" s="2029"/>
      <c r="H160" s="2029"/>
      <c r="I160" s="2030"/>
      <c r="J160" s="2048"/>
      <c r="K160" s="2048"/>
      <c r="L160" s="2089"/>
      <c r="M160" s="2034" t="s">
        <v>123</v>
      </c>
      <c r="N160" s="2086">
        <f>SUM(P160:Y163)</f>
        <v>25908</v>
      </c>
      <c r="O160" s="2058" t="s">
        <v>112</v>
      </c>
      <c r="P160" s="2087">
        <v>16679</v>
      </c>
      <c r="Q160" s="2087">
        <v>9229</v>
      </c>
      <c r="R160" s="2087">
        <v>0</v>
      </c>
      <c r="S160" s="2087">
        <v>0</v>
      </c>
      <c r="T160" s="2087">
        <v>0</v>
      </c>
      <c r="U160" s="2087">
        <v>0</v>
      </c>
      <c r="V160" s="2087">
        <v>0</v>
      </c>
      <c r="W160" s="2087">
        <v>0</v>
      </c>
      <c r="X160" s="2087">
        <v>0</v>
      </c>
      <c r="Y160" s="2087">
        <v>0</v>
      </c>
      <c r="Z160" s="2061" t="s">
        <v>345</v>
      </c>
      <c r="AA160" s="2062">
        <f>Q152</f>
        <v>61524</v>
      </c>
    </row>
    <row r="161" spans="1:27">
      <c r="A161" s="2039"/>
      <c r="B161" s="2028"/>
      <c r="C161" s="2029"/>
      <c r="D161" s="2029"/>
      <c r="E161" s="2029"/>
      <c r="F161" s="2029"/>
      <c r="G161" s="2029"/>
      <c r="H161" s="2029"/>
      <c r="I161" s="2030"/>
      <c r="J161" s="2048"/>
      <c r="K161" s="2048"/>
      <c r="L161" s="2089"/>
      <c r="M161" s="2035"/>
      <c r="N161" s="2058"/>
      <c r="O161" s="2058"/>
      <c r="P161" s="2087"/>
      <c r="Q161" s="2087"/>
      <c r="R161" s="2087"/>
      <c r="S161" s="2087"/>
      <c r="T161" s="2087"/>
      <c r="U161" s="2087"/>
      <c r="V161" s="2087"/>
      <c r="W161" s="2087"/>
      <c r="X161" s="2087"/>
      <c r="Y161" s="2087"/>
      <c r="Z161" s="2061"/>
      <c r="AA161" s="2062"/>
    </row>
    <row r="162" spans="1:27">
      <c r="A162" s="2039"/>
      <c r="B162" s="2028"/>
      <c r="C162" s="2029"/>
      <c r="D162" s="2029"/>
      <c r="E162" s="2029"/>
      <c r="F162" s="2029"/>
      <c r="G162" s="2029"/>
      <c r="H162" s="2029"/>
      <c r="I162" s="2030"/>
      <c r="J162" s="2048"/>
      <c r="K162" s="2048"/>
      <c r="L162" s="2089"/>
      <c r="M162" s="2035"/>
      <c r="N162" s="2058"/>
      <c r="O162" s="2058"/>
      <c r="P162" s="2087"/>
      <c r="Q162" s="2087"/>
      <c r="R162" s="2087"/>
      <c r="S162" s="2087"/>
      <c r="T162" s="2087"/>
      <c r="U162" s="2087"/>
      <c r="V162" s="2087"/>
      <c r="W162" s="2087"/>
      <c r="X162" s="2087"/>
      <c r="Y162" s="2087"/>
      <c r="Z162" s="2063"/>
      <c r="AA162" s="2062"/>
    </row>
    <row r="163" spans="1:27" ht="11.25" customHeight="1" thickBot="1">
      <c r="A163" s="2040"/>
      <c r="B163" s="2031"/>
      <c r="C163" s="2032"/>
      <c r="D163" s="2032"/>
      <c r="E163" s="2032"/>
      <c r="F163" s="2032"/>
      <c r="G163" s="2032"/>
      <c r="H163" s="2032"/>
      <c r="I163" s="2033"/>
      <c r="J163" s="2050"/>
      <c r="K163" s="2050"/>
      <c r="L163" s="2090"/>
      <c r="M163" s="2036"/>
      <c r="N163" s="2091"/>
      <c r="O163" s="2091"/>
      <c r="P163" s="2088"/>
      <c r="Q163" s="2088"/>
      <c r="R163" s="2088"/>
      <c r="S163" s="2088"/>
      <c r="T163" s="2088"/>
      <c r="U163" s="2088"/>
      <c r="V163" s="2088"/>
      <c r="W163" s="2088"/>
      <c r="X163" s="2088"/>
      <c r="Y163" s="2088"/>
      <c r="Z163" s="2064"/>
      <c r="AA163" s="2065"/>
    </row>
    <row r="164" spans="1:27" ht="11.25" customHeight="1" thickTop="1" thickBot="1">
      <c r="A164" s="806"/>
      <c r="B164" s="807"/>
      <c r="C164" s="807"/>
      <c r="D164" s="807"/>
      <c r="E164" s="807"/>
      <c r="F164" s="807"/>
      <c r="G164" s="807"/>
      <c r="H164" s="807"/>
      <c r="I164" s="807"/>
      <c r="J164" s="808"/>
      <c r="K164" s="808"/>
      <c r="L164" s="814"/>
      <c r="M164" s="826"/>
      <c r="N164" s="808"/>
      <c r="O164" s="808"/>
      <c r="P164" s="656"/>
      <c r="Q164" s="656"/>
      <c r="R164" s="656"/>
      <c r="S164" s="656"/>
      <c r="T164" s="656"/>
      <c r="U164" s="656"/>
      <c r="V164" s="656"/>
      <c r="W164" s="656"/>
      <c r="X164" s="656"/>
      <c r="Y164" s="656"/>
      <c r="Z164" s="812"/>
      <c r="AA164" s="813"/>
    </row>
    <row r="165" spans="1:27" ht="11.25" customHeight="1" thickTop="1">
      <c r="A165" s="2037">
        <v>10</v>
      </c>
      <c r="B165" s="2041" t="s">
        <v>101</v>
      </c>
      <c r="C165" s="2042"/>
      <c r="D165" s="2139" t="s">
        <v>165</v>
      </c>
      <c r="E165" s="2140"/>
      <c r="F165" s="2141"/>
      <c r="G165" s="2141"/>
      <c r="H165" s="2141"/>
      <c r="I165" s="2142"/>
      <c r="J165" s="2047">
        <v>2012</v>
      </c>
      <c r="K165" s="2047">
        <v>2015</v>
      </c>
      <c r="L165" s="2051">
        <f>SUM(N165,L171)</f>
        <v>30597208</v>
      </c>
      <c r="M165" s="2053" t="s">
        <v>120</v>
      </c>
      <c r="N165" s="2055">
        <f>SUM(N169:N176)</f>
        <v>30597208</v>
      </c>
      <c r="O165" s="2057" t="s">
        <v>112</v>
      </c>
      <c r="P165" s="2059">
        <f>SUM(P169:P176)</f>
        <v>8653871</v>
      </c>
      <c r="Q165" s="2059">
        <f>SUM(Q169:Q176)</f>
        <v>14575981</v>
      </c>
      <c r="R165" s="2059">
        <f>SUM(R169:R176)</f>
        <v>7367356</v>
      </c>
      <c r="S165" s="2059">
        <f t="shared" ref="S165:Y165" si="11">SUM(S169:S176)</f>
        <v>0</v>
      </c>
      <c r="T165" s="2059">
        <f t="shared" si="11"/>
        <v>0</v>
      </c>
      <c r="U165" s="2059">
        <f t="shared" si="11"/>
        <v>0</v>
      </c>
      <c r="V165" s="2059">
        <f t="shared" si="11"/>
        <v>0</v>
      </c>
      <c r="W165" s="2059">
        <f t="shared" si="11"/>
        <v>0</v>
      </c>
      <c r="X165" s="2059">
        <f t="shared" si="11"/>
        <v>0</v>
      </c>
      <c r="Y165" s="2059">
        <f t="shared" si="11"/>
        <v>0</v>
      </c>
      <c r="Z165" s="2066">
        <f>SUM(AA169:AA176)</f>
        <v>8653871</v>
      </c>
      <c r="AA165" s="2067"/>
    </row>
    <row r="166" spans="1:27" ht="11.25" customHeight="1">
      <c r="A166" s="2038"/>
      <c r="B166" s="2043"/>
      <c r="C166" s="2044"/>
      <c r="D166" s="2143"/>
      <c r="E166" s="2144"/>
      <c r="F166" s="2145"/>
      <c r="G166" s="2145"/>
      <c r="H166" s="2145"/>
      <c r="I166" s="2146"/>
      <c r="J166" s="2048"/>
      <c r="K166" s="2048"/>
      <c r="L166" s="2052"/>
      <c r="M166" s="2054"/>
      <c r="N166" s="2056"/>
      <c r="O166" s="2058"/>
      <c r="P166" s="2060"/>
      <c r="Q166" s="2060"/>
      <c r="R166" s="2060"/>
      <c r="S166" s="2060"/>
      <c r="T166" s="2060"/>
      <c r="U166" s="2060"/>
      <c r="V166" s="2060"/>
      <c r="W166" s="2060"/>
      <c r="X166" s="2060"/>
      <c r="Y166" s="2060"/>
      <c r="Z166" s="2068"/>
      <c r="AA166" s="2069"/>
    </row>
    <row r="167" spans="1:27" ht="11.25" customHeight="1">
      <c r="A167" s="2038"/>
      <c r="B167" s="2072" t="s">
        <v>107</v>
      </c>
      <c r="C167" s="2058"/>
      <c r="D167" s="2147"/>
      <c r="E167" s="2145"/>
      <c r="F167" s="2145"/>
      <c r="G167" s="2145"/>
      <c r="H167" s="2145"/>
      <c r="I167" s="2146"/>
      <c r="J167" s="2048"/>
      <c r="K167" s="2048"/>
      <c r="L167" s="2052"/>
      <c r="M167" s="2054"/>
      <c r="N167" s="2056"/>
      <c r="O167" s="2058"/>
      <c r="P167" s="2060"/>
      <c r="Q167" s="2060"/>
      <c r="R167" s="2060"/>
      <c r="S167" s="2060"/>
      <c r="T167" s="2060"/>
      <c r="U167" s="2060"/>
      <c r="V167" s="2060"/>
      <c r="W167" s="2060"/>
      <c r="X167" s="2060"/>
      <c r="Y167" s="2060"/>
      <c r="Z167" s="2068"/>
      <c r="AA167" s="2069"/>
    </row>
    <row r="168" spans="1:27" ht="11.25" customHeight="1">
      <c r="A168" s="2038"/>
      <c r="B168" s="2073"/>
      <c r="C168" s="2074"/>
      <c r="D168" s="2148"/>
      <c r="E168" s="2149"/>
      <c r="F168" s="2149"/>
      <c r="G168" s="2149"/>
      <c r="H168" s="2149"/>
      <c r="I168" s="2150"/>
      <c r="J168" s="2048"/>
      <c r="K168" s="2048"/>
      <c r="L168" s="2052"/>
      <c r="M168" s="2054"/>
      <c r="N168" s="2056"/>
      <c r="O168" s="2058"/>
      <c r="P168" s="2060"/>
      <c r="Q168" s="2060"/>
      <c r="R168" s="2060"/>
      <c r="S168" s="2060"/>
      <c r="T168" s="2060"/>
      <c r="U168" s="2060"/>
      <c r="V168" s="2060"/>
      <c r="W168" s="2060"/>
      <c r="X168" s="2060"/>
      <c r="Y168" s="2060"/>
      <c r="Z168" s="2070"/>
      <c r="AA168" s="2071"/>
    </row>
    <row r="169" spans="1:27" ht="16.5" customHeight="1">
      <c r="A169" s="2039"/>
      <c r="B169" s="2076" t="s">
        <v>453</v>
      </c>
      <c r="C169" s="2077"/>
      <c r="D169" s="2077"/>
      <c r="E169" s="2077"/>
      <c r="F169" s="2077"/>
      <c r="G169" s="2077"/>
      <c r="H169" s="2077"/>
      <c r="I169" s="2078"/>
      <c r="J169" s="2049"/>
      <c r="K169" s="2048"/>
      <c r="L169" s="2052"/>
      <c r="M169" s="2085" t="s">
        <v>143</v>
      </c>
      <c r="N169" s="2086">
        <f>SUM(P169:Y172)</f>
        <v>0</v>
      </c>
      <c r="O169" s="2058" t="s">
        <v>112</v>
      </c>
      <c r="P169" s="2087">
        <v>0</v>
      </c>
      <c r="Q169" s="2087">
        <v>0</v>
      </c>
      <c r="R169" s="2087">
        <v>0</v>
      </c>
      <c r="S169" s="2087">
        <v>0</v>
      </c>
      <c r="T169" s="2087">
        <v>0</v>
      </c>
      <c r="U169" s="2087">
        <v>0</v>
      </c>
      <c r="V169" s="2087">
        <v>0</v>
      </c>
      <c r="W169" s="2087">
        <v>0</v>
      </c>
      <c r="X169" s="2087">
        <v>0</v>
      </c>
      <c r="Y169" s="2087">
        <v>0</v>
      </c>
      <c r="Z169" s="2092"/>
      <c r="AA169" s="2093"/>
    </row>
    <row r="170" spans="1:27" ht="15" customHeight="1">
      <c r="A170" s="2039"/>
      <c r="B170" s="2079"/>
      <c r="C170" s="2080"/>
      <c r="D170" s="2080"/>
      <c r="E170" s="2080"/>
      <c r="F170" s="2080"/>
      <c r="G170" s="2080"/>
      <c r="H170" s="2080"/>
      <c r="I170" s="2081"/>
      <c r="J170" s="2049"/>
      <c r="K170" s="2048"/>
      <c r="L170" s="2052"/>
      <c r="M170" s="2085"/>
      <c r="N170" s="2058"/>
      <c r="O170" s="2058"/>
      <c r="P170" s="2087"/>
      <c r="Q170" s="2087"/>
      <c r="R170" s="2087"/>
      <c r="S170" s="2087"/>
      <c r="T170" s="2087"/>
      <c r="U170" s="2087"/>
      <c r="V170" s="2087"/>
      <c r="W170" s="2087"/>
      <c r="X170" s="2087"/>
      <c r="Y170" s="2087"/>
      <c r="Z170" s="2061"/>
      <c r="AA170" s="2062"/>
    </row>
    <row r="171" spans="1:27" ht="1.5" hidden="1" customHeight="1">
      <c r="A171" s="2039"/>
      <c r="B171" s="2079"/>
      <c r="C171" s="2080"/>
      <c r="D171" s="2080"/>
      <c r="E171" s="2080"/>
      <c r="F171" s="2080"/>
      <c r="G171" s="2080"/>
      <c r="H171" s="2080"/>
      <c r="I171" s="2081"/>
      <c r="J171" s="2049"/>
      <c r="K171" s="2048"/>
      <c r="L171" s="2089">
        <v>0</v>
      </c>
      <c r="M171" s="2085"/>
      <c r="N171" s="2058"/>
      <c r="O171" s="2058"/>
      <c r="P171" s="2087"/>
      <c r="Q171" s="2087"/>
      <c r="R171" s="2087"/>
      <c r="S171" s="2087"/>
      <c r="T171" s="2087"/>
      <c r="U171" s="2087"/>
      <c r="V171" s="2087"/>
      <c r="W171" s="2087"/>
      <c r="X171" s="2087"/>
      <c r="Y171" s="2087"/>
      <c r="Z171" s="2061" t="s">
        <v>154</v>
      </c>
      <c r="AA171" s="2062">
        <f>P165</f>
        <v>8653871</v>
      </c>
    </row>
    <row r="172" spans="1:27" ht="17.25" customHeight="1">
      <c r="A172" s="2039"/>
      <c r="B172" s="2082"/>
      <c r="C172" s="2083"/>
      <c r="D172" s="2083"/>
      <c r="E172" s="2083"/>
      <c r="F172" s="2083"/>
      <c r="G172" s="2083"/>
      <c r="H172" s="2083"/>
      <c r="I172" s="2084"/>
      <c r="J172" s="2049"/>
      <c r="K172" s="2048"/>
      <c r="L172" s="2089"/>
      <c r="M172" s="2085"/>
      <c r="N172" s="2058"/>
      <c r="O172" s="2058"/>
      <c r="P172" s="2087"/>
      <c r="Q172" s="2087"/>
      <c r="R172" s="2087"/>
      <c r="S172" s="2087"/>
      <c r="T172" s="2087"/>
      <c r="U172" s="2087"/>
      <c r="V172" s="2087"/>
      <c r="W172" s="2087"/>
      <c r="X172" s="2087"/>
      <c r="Y172" s="2087"/>
      <c r="Z172" s="2061"/>
      <c r="AA172" s="2062"/>
    </row>
    <row r="173" spans="1:27" ht="11.25" customHeight="1">
      <c r="A173" s="2039"/>
      <c r="B173" s="2028" t="s">
        <v>391</v>
      </c>
      <c r="C173" s="2029"/>
      <c r="D173" s="2029"/>
      <c r="E173" s="2029"/>
      <c r="F173" s="2029"/>
      <c r="G173" s="2029"/>
      <c r="H173" s="2029"/>
      <c r="I173" s="2030"/>
      <c r="J173" s="2048"/>
      <c r="K173" s="2048"/>
      <c r="L173" s="2089"/>
      <c r="M173" s="2034" t="s">
        <v>123</v>
      </c>
      <c r="N173" s="2086">
        <f>SUM(P173:Y176)</f>
        <v>30597208</v>
      </c>
      <c r="O173" s="2058" t="s">
        <v>112</v>
      </c>
      <c r="P173" s="2087">
        <v>8653871</v>
      </c>
      <c r="Q173" s="2087">
        <v>14575981</v>
      </c>
      <c r="R173" s="2087">
        <v>7367356</v>
      </c>
      <c r="S173" s="2087">
        <v>0</v>
      </c>
      <c r="T173" s="2087">
        <v>0</v>
      </c>
      <c r="U173" s="2087">
        <v>0</v>
      </c>
      <c r="V173" s="2087">
        <v>0</v>
      </c>
      <c r="W173" s="2087">
        <v>0</v>
      </c>
      <c r="X173" s="2087">
        <v>0</v>
      </c>
      <c r="Y173" s="2087">
        <v>0</v>
      </c>
      <c r="Z173" s="2061"/>
      <c r="AA173" s="2062"/>
    </row>
    <row r="174" spans="1:27" ht="11.25" customHeight="1">
      <c r="A174" s="2039"/>
      <c r="B174" s="2028"/>
      <c r="C174" s="2029"/>
      <c r="D174" s="2029"/>
      <c r="E174" s="2029"/>
      <c r="F174" s="2029"/>
      <c r="G174" s="2029"/>
      <c r="H174" s="2029"/>
      <c r="I174" s="2030"/>
      <c r="J174" s="2048"/>
      <c r="K174" s="2048"/>
      <c r="L174" s="2089"/>
      <c r="M174" s="2035"/>
      <c r="N174" s="2058"/>
      <c r="O174" s="2058"/>
      <c r="P174" s="2087"/>
      <c r="Q174" s="2087"/>
      <c r="R174" s="2087"/>
      <c r="S174" s="2087"/>
      <c r="T174" s="2087"/>
      <c r="U174" s="2087"/>
      <c r="V174" s="2087"/>
      <c r="W174" s="2087"/>
      <c r="X174" s="2087"/>
      <c r="Y174" s="2087"/>
      <c r="Z174" s="2061"/>
      <c r="AA174" s="2062"/>
    </row>
    <row r="175" spans="1:27" ht="11.25" customHeight="1">
      <c r="A175" s="2039"/>
      <c r="B175" s="2028"/>
      <c r="C175" s="2029"/>
      <c r="D175" s="2029"/>
      <c r="E175" s="2029"/>
      <c r="F175" s="2029"/>
      <c r="G175" s="2029"/>
      <c r="H175" s="2029"/>
      <c r="I175" s="2030"/>
      <c r="J175" s="2048"/>
      <c r="K175" s="2048"/>
      <c r="L175" s="2089"/>
      <c r="M175" s="2035"/>
      <c r="N175" s="2058"/>
      <c r="O175" s="2058"/>
      <c r="P175" s="2087"/>
      <c r="Q175" s="2087"/>
      <c r="R175" s="2087"/>
      <c r="S175" s="2087"/>
      <c r="T175" s="2087"/>
      <c r="U175" s="2087"/>
      <c r="V175" s="2087"/>
      <c r="W175" s="2087"/>
      <c r="X175" s="2087"/>
      <c r="Y175" s="2087"/>
      <c r="Z175" s="2063"/>
      <c r="AA175" s="2062"/>
    </row>
    <row r="176" spans="1:27" ht="17.25" customHeight="1" thickBot="1">
      <c r="A176" s="2040"/>
      <c r="B176" s="2031"/>
      <c r="C176" s="2032"/>
      <c r="D176" s="2032"/>
      <c r="E176" s="2032"/>
      <c r="F176" s="2032"/>
      <c r="G176" s="2032"/>
      <c r="H176" s="2032"/>
      <c r="I176" s="2033"/>
      <c r="J176" s="2050"/>
      <c r="K176" s="2050"/>
      <c r="L176" s="2090"/>
      <c r="M176" s="2036"/>
      <c r="N176" s="2091"/>
      <c r="O176" s="2091"/>
      <c r="P176" s="2088"/>
      <c r="Q176" s="2088"/>
      <c r="R176" s="2088"/>
      <c r="S176" s="2088"/>
      <c r="T176" s="2088"/>
      <c r="U176" s="2088"/>
      <c r="V176" s="2088"/>
      <c r="W176" s="2088"/>
      <c r="X176" s="2088"/>
      <c r="Y176" s="2088"/>
      <c r="Z176" s="2064"/>
      <c r="AA176" s="2065"/>
    </row>
    <row r="177" spans="1:27" ht="24.75" customHeight="1" thickTop="1" thickBot="1">
      <c r="A177" s="806"/>
      <c r="B177" s="807"/>
      <c r="C177" s="807"/>
      <c r="D177" s="807"/>
      <c r="E177" s="807"/>
      <c r="F177" s="807"/>
      <c r="G177" s="807"/>
      <c r="H177" s="807"/>
      <c r="I177" s="807"/>
      <c r="J177" s="808"/>
      <c r="K177" s="808"/>
      <c r="L177" s="814"/>
      <c r="M177" s="826"/>
      <c r="N177" s="808"/>
      <c r="O177" s="808"/>
      <c r="P177" s="656"/>
      <c r="Q177" s="656"/>
      <c r="R177" s="656"/>
      <c r="S177" s="656"/>
      <c r="T177" s="656"/>
      <c r="U177" s="656"/>
      <c r="V177" s="656"/>
      <c r="W177" s="656"/>
      <c r="X177" s="656"/>
      <c r="Y177" s="656"/>
      <c r="Z177" s="812"/>
      <c r="AA177" s="813"/>
    </row>
    <row r="178" spans="1:27" ht="11.25" customHeight="1" thickTop="1">
      <c r="A178" s="2037">
        <v>11</v>
      </c>
      <c r="B178" s="2041" t="s">
        <v>101</v>
      </c>
      <c r="C178" s="2042"/>
      <c r="D178" s="2042">
        <v>853</v>
      </c>
      <c r="E178" s="2042"/>
      <c r="F178" s="2045" t="s">
        <v>387</v>
      </c>
      <c r="G178" s="2045"/>
      <c r="H178" s="2045"/>
      <c r="I178" s="2045"/>
      <c r="J178" s="2047">
        <v>2013</v>
      </c>
      <c r="K178" s="2047">
        <v>2014</v>
      </c>
      <c r="L178" s="2051">
        <f>SUM(N178,L184)</f>
        <v>503350</v>
      </c>
      <c r="M178" s="2053" t="s">
        <v>120</v>
      </c>
      <c r="N178" s="2055">
        <f>SUM(N182:N189)</f>
        <v>503350</v>
      </c>
      <c r="O178" s="2057" t="s">
        <v>112</v>
      </c>
      <c r="P178" s="2059">
        <f t="shared" ref="P178:Y178" si="12">SUM(P182:P189)</f>
        <v>469365</v>
      </c>
      <c r="Q178" s="2059">
        <f t="shared" si="12"/>
        <v>33985</v>
      </c>
      <c r="R178" s="2059">
        <f t="shared" si="12"/>
        <v>0</v>
      </c>
      <c r="S178" s="2059">
        <f t="shared" si="12"/>
        <v>0</v>
      </c>
      <c r="T178" s="2059">
        <f t="shared" si="12"/>
        <v>0</v>
      </c>
      <c r="U178" s="2059">
        <f t="shared" si="12"/>
        <v>0</v>
      </c>
      <c r="V178" s="2059">
        <f t="shared" si="12"/>
        <v>0</v>
      </c>
      <c r="W178" s="2059">
        <f t="shared" si="12"/>
        <v>0</v>
      </c>
      <c r="X178" s="2059">
        <f t="shared" si="12"/>
        <v>0</v>
      </c>
      <c r="Y178" s="2059">
        <f t="shared" si="12"/>
        <v>0</v>
      </c>
      <c r="Z178" s="2066">
        <f>SUM(AA182:AA189)</f>
        <v>503350</v>
      </c>
      <c r="AA178" s="2067"/>
    </row>
    <row r="179" spans="1:27" ht="15" customHeight="1">
      <c r="A179" s="2038"/>
      <c r="B179" s="2043"/>
      <c r="C179" s="2044"/>
      <c r="D179" s="2044"/>
      <c r="E179" s="2044"/>
      <c r="F179" s="2046"/>
      <c r="G179" s="2046"/>
      <c r="H179" s="2046"/>
      <c r="I179" s="2046"/>
      <c r="J179" s="2048"/>
      <c r="K179" s="2048"/>
      <c r="L179" s="2052"/>
      <c r="M179" s="2054"/>
      <c r="N179" s="2056"/>
      <c r="O179" s="2058"/>
      <c r="P179" s="2060"/>
      <c r="Q179" s="2060"/>
      <c r="R179" s="2060"/>
      <c r="S179" s="2060"/>
      <c r="T179" s="2060"/>
      <c r="U179" s="2060"/>
      <c r="V179" s="2060"/>
      <c r="W179" s="2060"/>
      <c r="X179" s="2060"/>
      <c r="Y179" s="2060"/>
      <c r="Z179" s="2068"/>
      <c r="AA179" s="2069"/>
    </row>
    <row r="180" spans="1:27" ht="11.25" customHeight="1">
      <c r="A180" s="2038"/>
      <c r="B180" s="2072" t="s">
        <v>107</v>
      </c>
      <c r="C180" s="2058"/>
      <c r="D180" s="2058">
        <v>85395</v>
      </c>
      <c r="E180" s="2058"/>
      <c r="F180" s="2046" t="s">
        <v>130</v>
      </c>
      <c r="G180" s="2046"/>
      <c r="H180" s="2046"/>
      <c r="I180" s="2046"/>
      <c r="J180" s="2048"/>
      <c r="K180" s="2048"/>
      <c r="L180" s="2052"/>
      <c r="M180" s="2054"/>
      <c r="N180" s="2056"/>
      <c r="O180" s="2058"/>
      <c r="P180" s="2060"/>
      <c r="Q180" s="2060"/>
      <c r="R180" s="2060"/>
      <c r="S180" s="2060"/>
      <c r="T180" s="2060"/>
      <c r="U180" s="2060"/>
      <c r="V180" s="2060"/>
      <c r="W180" s="2060"/>
      <c r="X180" s="2060"/>
      <c r="Y180" s="2060"/>
      <c r="Z180" s="2068"/>
      <c r="AA180" s="2069"/>
    </row>
    <row r="181" spans="1:27" ht="15.75" customHeight="1">
      <c r="A181" s="2038"/>
      <c r="B181" s="2073"/>
      <c r="C181" s="2074"/>
      <c r="D181" s="2074"/>
      <c r="E181" s="2074"/>
      <c r="F181" s="2075"/>
      <c r="G181" s="2075"/>
      <c r="H181" s="2075"/>
      <c r="I181" s="2075"/>
      <c r="J181" s="2048"/>
      <c r="K181" s="2048"/>
      <c r="L181" s="2052"/>
      <c r="M181" s="2054"/>
      <c r="N181" s="2056"/>
      <c r="O181" s="2058"/>
      <c r="P181" s="2060"/>
      <c r="Q181" s="2060"/>
      <c r="R181" s="2060"/>
      <c r="S181" s="2060"/>
      <c r="T181" s="2060"/>
      <c r="U181" s="2060"/>
      <c r="V181" s="2060"/>
      <c r="W181" s="2060"/>
      <c r="X181" s="2060"/>
      <c r="Y181" s="2060"/>
      <c r="Z181" s="2070"/>
      <c r="AA181" s="2071"/>
    </row>
    <row r="182" spans="1:27" ht="11.25" customHeight="1">
      <c r="A182" s="2039"/>
      <c r="B182" s="2076" t="s">
        <v>438</v>
      </c>
      <c r="C182" s="2077"/>
      <c r="D182" s="2077"/>
      <c r="E182" s="2077"/>
      <c r="F182" s="2077"/>
      <c r="G182" s="2077"/>
      <c r="H182" s="2077"/>
      <c r="I182" s="2078"/>
      <c r="J182" s="2049"/>
      <c r="K182" s="2048"/>
      <c r="L182" s="2052"/>
      <c r="M182" s="2085" t="s">
        <v>143</v>
      </c>
      <c r="N182" s="2086">
        <f>SUM(P182:Y185)</f>
        <v>427847</v>
      </c>
      <c r="O182" s="2058" t="s">
        <v>112</v>
      </c>
      <c r="P182" s="2087">
        <v>398960</v>
      </c>
      <c r="Q182" s="2087">
        <v>28887</v>
      </c>
      <c r="R182" s="2087">
        <v>0</v>
      </c>
      <c r="S182" s="2087">
        <v>0</v>
      </c>
      <c r="T182" s="2087">
        <v>0</v>
      </c>
      <c r="U182" s="2087">
        <v>0</v>
      </c>
      <c r="V182" s="2087">
        <v>0</v>
      </c>
      <c r="W182" s="2087">
        <v>0</v>
      </c>
      <c r="X182" s="2087">
        <v>0</v>
      </c>
      <c r="Y182" s="2087">
        <v>0</v>
      </c>
      <c r="Z182" s="2092"/>
      <c r="AA182" s="2093"/>
    </row>
    <row r="183" spans="1:27" ht="11.25" customHeight="1">
      <c r="A183" s="2039"/>
      <c r="B183" s="2079"/>
      <c r="C183" s="2080"/>
      <c r="D183" s="2080"/>
      <c r="E183" s="2080"/>
      <c r="F183" s="2080"/>
      <c r="G183" s="2080"/>
      <c r="H183" s="2080"/>
      <c r="I183" s="2081"/>
      <c r="J183" s="2049"/>
      <c r="K183" s="2048"/>
      <c r="L183" s="2052"/>
      <c r="M183" s="2085"/>
      <c r="N183" s="2058"/>
      <c r="O183" s="2058"/>
      <c r="P183" s="2087"/>
      <c r="Q183" s="2087"/>
      <c r="R183" s="2087"/>
      <c r="S183" s="2087"/>
      <c r="T183" s="2087"/>
      <c r="U183" s="2087"/>
      <c r="V183" s="2087"/>
      <c r="W183" s="2087"/>
      <c r="X183" s="2087"/>
      <c r="Y183" s="2087"/>
      <c r="Z183" s="2061"/>
      <c r="AA183" s="2062"/>
    </row>
    <row r="184" spans="1:27" ht="11.25" customHeight="1">
      <c r="A184" s="2039"/>
      <c r="B184" s="2079"/>
      <c r="C184" s="2080"/>
      <c r="D184" s="2080"/>
      <c r="E184" s="2080"/>
      <c r="F184" s="2080"/>
      <c r="G184" s="2080"/>
      <c r="H184" s="2080"/>
      <c r="I184" s="2081"/>
      <c r="J184" s="2049"/>
      <c r="K184" s="2048"/>
      <c r="L184" s="2089">
        <v>0</v>
      </c>
      <c r="M184" s="2085"/>
      <c r="N184" s="2058"/>
      <c r="O184" s="2058"/>
      <c r="P184" s="2087"/>
      <c r="Q184" s="2087"/>
      <c r="R184" s="2087"/>
      <c r="S184" s="2087"/>
      <c r="T184" s="2087"/>
      <c r="U184" s="2087"/>
      <c r="V184" s="2087"/>
      <c r="W184" s="2087"/>
      <c r="X184" s="2087"/>
      <c r="Y184" s="2087"/>
      <c r="Z184" s="2061" t="s">
        <v>154</v>
      </c>
      <c r="AA184" s="2062">
        <f>P178</f>
        <v>469365</v>
      </c>
    </row>
    <row r="185" spans="1:27" ht="11.25" customHeight="1">
      <c r="A185" s="2039"/>
      <c r="B185" s="2082"/>
      <c r="C185" s="2083"/>
      <c r="D185" s="2083"/>
      <c r="E185" s="2083"/>
      <c r="F185" s="2083"/>
      <c r="G185" s="2083"/>
      <c r="H185" s="2083"/>
      <c r="I185" s="2084"/>
      <c r="J185" s="2049"/>
      <c r="K185" s="2048"/>
      <c r="L185" s="2089"/>
      <c r="M185" s="2085"/>
      <c r="N185" s="2058"/>
      <c r="O185" s="2058"/>
      <c r="P185" s="2087"/>
      <c r="Q185" s="2087"/>
      <c r="R185" s="2087"/>
      <c r="S185" s="2087"/>
      <c r="T185" s="2087"/>
      <c r="U185" s="2087"/>
      <c r="V185" s="2087"/>
      <c r="W185" s="2087"/>
      <c r="X185" s="2087"/>
      <c r="Y185" s="2087"/>
      <c r="Z185" s="2061"/>
      <c r="AA185" s="2062"/>
    </row>
    <row r="186" spans="1:27" ht="11.25" customHeight="1">
      <c r="A186" s="2039"/>
      <c r="B186" s="2028" t="s">
        <v>356</v>
      </c>
      <c r="C186" s="2029"/>
      <c r="D186" s="2029"/>
      <c r="E186" s="2029"/>
      <c r="F186" s="2029"/>
      <c r="G186" s="2029"/>
      <c r="H186" s="2029"/>
      <c r="I186" s="2030"/>
      <c r="J186" s="2048"/>
      <c r="K186" s="2048"/>
      <c r="L186" s="2089"/>
      <c r="M186" s="2034" t="s">
        <v>439</v>
      </c>
      <c r="N186" s="2130">
        <f>SUM(P186:Y189)</f>
        <v>75503</v>
      </c>
      <c r="O186" s="2074" t="s">
        <v>112</v>
      </c>
      <c r="P186" s="2135">
        <v>70405</v>
      </c>
      <c r="Q186" s="2135">
        <v>5098</v>
      </c>
      <c r="R186" s="2135">
        <v>0</v>
      </c>
      <c r="S186" s="2135">
        <v>0</v>
      </c>
      <c r="T186" s="2135">
        <v>0</v>
      </c>
      <c r="U186" s="2135">
        <v>0</v>
      </c>
      <c r="V186" s="2135">
        <v>0</v>
      </c>
      <c r="W186" s="2135">
        <v>0</v>
      </c>
      <c r="X186" s="2135">
        <v>0</v>
      </c>
      <c r="Y186" s="2135">
        <v>0</v>
      </c>
      <c r="Z186" s="2061" t="s">
        <v>345</v>
      </c>
      <c r="AA186" s="2062">
        <f>Q178</f>
        <v>33985</v>
      </c>
    </row>
    <row r="187" spans="1:27" ht="11.25" customHeight="1">
      <c r="A187" s="2039"/>
      <c r="B187" s="2028"/>
      <c r="C187" s="2029"/>
      <c r="D187" s="2029"/>
      <c r="E187" s="2029"/>
      <c r="F187" s="2029"/>
      <c r="G187" s="2029"/>
      <c r="H187" s="2029"/>
      <c r="I187" s="2030"/>
      <c r="J187" s="2048"/>
      <c r="K187" s="2048"/>
      <c r="L187" s="2089"/>
      <c r="M187" s="2035"/>
      <c r="N187" s="2131"/>
      <c r="O187" s="2048"/>
      <c r="P187" s="2136"/>
      <c r="Q187" s="2136"/>
      <c r="R187" s="2136"/>
      <c r="S187" s="2136"/>
      <c r="T187" s="2136"/>
      <c r="U187" s="2136"/>
      <c r="V187" s="2136"/>
      <c r="W187" s="2136"/>
      <c r="X187" s="2136"/>
      <c r="Y187" s="2136"/>
      <c r="Z187" s="2061"/>
      <c r="AA187" s="2062"/>
    </row>
    <row r="188" spans="1:27" ht="11.25" customHeight="1">
      <c r="A188" s="2039"/>
      <c r="B188" s="2028"/>
      <c r="C188" s="2029"/>
      <c r="D188" s="2029"/>
      <c r="E188" s="2029"/>
      <c r="F188" s="2029"/>
      <c r="G188" s="2029"/>
      <c r="H188" s="2029"/>
      <c r="I188" s="2030"/>
      <c r="J188" s="2048"/>
      <c r="K188" s="2048"/>
      <c r="L188" s="2089"/>
      <c r="M188" s="2035"/>
      <c r="N188" s="2131"/>
      <c r="O188" s="2048"/>
      <c r="P188" s="2136"/>
      <c r="Q188" s="2136"/>
      <c r="R188" s="2136"/>
      <c r="S188" s="2136"/>
      <c r="T188" s="2136"/>
      <c r="U188" s="2136"/>
      <c r="V188" s="2136"/>
      <c r="W188" s="2136"/>
      <c r="X188" s="2136"/>
      <c r="Y188" s="2136"/>
      <c r="Z188" s="2063"/>
      <c r="AA188" s="2062"/>
    </row>
    <row r="189" spans="1:27" ht="11.25" customHeight="1" thickBot="1">
      <c r="A189" s="2040"/>
      <c r="B189" s="2031"/>
      <c r="C189" s="2032"/>
      <c r="D189" s="2032"/>
      <c r="E189" s="2032"/>
      <c r="F189" s="2032"/>
      <c r="G189" s="2032"/>
      <c r="H189" s="2032"/>
      <c r="I189" s="2033"/>
      <c r="J189" s="2050"/>
      <c r="K189" s="2050"/>
      <c r="L189" s="2090"/>
      <c r="M189" s="2036"/>
      <c r="N189" s="2138"/>
      <c r="O189" s="2050"/>
      <c r="P189" s="2137"/>
      <c r="Q189" s="2137"/>
      <c r="R189" s="2137"/>
      <c r="S189" s="2137"/>
      <c r="T189" s="2137"/>
      <c r="U189" s="2137"/>
      <c r="V189" s="2137"/>
      <c r="W189" s="2137"/>
      <c r="X189" s="2137"/>
      <c r="Y189" s="2137"/>
      <c r="Z189" s="2064"/>
      <c r="AA189" s="2065"/>
    </row>
    <row r="190" spans="1:27" ht="23.25" customHeight="1" thickTop="1" thickBot="1">
      <c r="A190" s="830"/>
      <c r="B190" s="831"/>
      <c r="C190" s="831"/>
      <c r="D190" s="831"/>
      <c r="E190" s="831"/>
      <c r="F190" s="831"/>
      <c r="G190" s="831"/>
      <c r="H190" s="831"/>
      <c r="I190" s="831"/>
      <c r="J190" s="832"/>
      <c r="K190" s="832"/>
      <c r="L190" s="811"/>
      <c r="M190" s="825"/>
      <c r="N190" s="832"/>
      <c r="O190" s="832"/>
      <c r="P190" s="656"/>
      <c r="Q190" s="656"/>
      <c r="R190" s="656"/>
      <c r="S190" s="656"/>
      <c r="T190" s="656"/>
      <c r="U190" s="656"/>
      <c r="V190" s="656"/>
      <c r="W190" s="656"/>
      <c r="X190" s="656"/>
      <c r="Y190" s="656"/>
      <c r="Z190" s="812"/>
      <c r="AA190" s="642"/>
    </row>
    <row r="191" spans="1:27" ht="11.25" customHeight="1" thickTop="1">
      <c r="A191" s="2037">
        <v>12</v>
      </c>
      <c r="B191" s="2041" t="s">
        <v>101</v>
      </c>
      <c r="C191" s="2042"/>
      <c r="D191" s="2042">
        <v>853</v>
      </c>
      <c r="E191" s="2042"/>
      <c r="F191" s="2045" t="s">
        <v>387</v>
      </c>
      <c r="G191" s="2045"/>
      <c r="H191" s="2045"/>
      <c r="I191" s="2045"/>
      <c r="J191" s="2047">
        <v>2013</v>
      </c>
      <c r="K191" s="2047">
        <v>2014</v>
      </c>
      <c r="L191" s="2051">
        <f>SUM(N191,L197)</f>
        <v>1261058</v>
      </c>
      <c r="M191" s="2053" t="s">
        <v>120</v>
      </c>
      <c r="N191" s="2055">
        <f>SUM(N195:N202)</f>
        <v>1261058</v>
      </c>
      <c r="O191" s="2057" t="s">
        <v>112</v>
      </c>
      <c r="P191" s="2059">
        <f>SUM(P195:P202)</f>
        <v>967538</v>
      </c>
      <c r="Q191" s="2059">
        <f>SUM(Q195:Q202)</f>
        <v>293520</v>
      </c>
      <c r="R191" s="2059">
        <f>SUM(R195:R202)</f>
        <v>0</v>
      </c>
      <c r="S191" s="2059">
        <f t="shared" ref="S191:Y191" si="13">SUM(S195:S202)</f>
        <v>0</v>
      </c>
      <c r="T191" s="2059">
        <f t="shared" si="13"/>
        <v>0</v>
      </c>
      <c r="U191" s="2059">
        <f t="shared" si="13"/>
        <v>0</v>
      </c>
      <c r="V191" s="2059">
        <f t="shared" si="13"/>
        <v>0</v>
      </c>
      <c r="W191" s="2059">
        <f t="shared" si="13"/>
        <v>0</v>
      </c>
      <c r="X191" s="2059">
        <f t="shared" si="13"/>
        <v>0</v>
      </c>
      <c r="Y191" s="2059">
        <f t="shared" si="13"/>
        <v>0</v>
      </c>
      <c r="Z191" s="2066">
        <f>SUM(AA195:AA202)</f>
        <v>1261058</v>
      </c>
      <c r="AA191" s="2067"/>
    </row>
    <row r="192" spans="1:27" ht="11.25" customHeight="1">
      <c r="A192" s="2038"/>
      <c r="B192" s="2043"/>
      <c r="C192" s="2044"/>
      <c r="D192" s="2044"/>
      <c r="E192" s="2044"/>
      <c r="F192" s="2046"/>
      <c r="G192" s="2046"/>
      <c r="H192" s="2046"/>
      <c r="I192" s="2046"/>
      <c r="J192" s="2048"/>
      <c r="K192" s="2048"/>
      <c r="L192" s="2052"/>
      <c r="M192" s="2054"/>
      <c r="N192" s="2056"/>
      <c r="O192" s="2058"/>
      <c r="P192" s="2060"/>
      <c r="Q192" s="2060"/>
      <c r="R192" s="2060"/>
      <c r="S192" s="2060"/>
      <c r="T192" s="2060"/>
      <c r="U192" s="2060"/>
      <c r="V192" s="2060"/>
      <c r="W192" s="2060"/>
      <c r="X192" s="2060"/>
      <c r="Y192" s="2060"/>
      <c r="Z192" s="2068"/>
      <c r="AA192" s="2069"/>
    </row>
    <row r="193" spans="1:27" ht="11.25" customHeight="1">
      <c r="A193" s="2038"/>
      <c r="B193" s="2072" t="s">
        <v>107</v>
      </c>
      <c r="C193" s="2058"/>
      <c r="D193" s="2058">
        <v>85395</v>
      </c>
      <c r="E193" s="2058"/>
      <c r="F193" s="2046" t="s">
        <v>130</v>
      </c>
      <c r="G193" s="2046"/>
      <c r="H193" s="2046"/>
      <c r="I193" s="2046"/>
      <c r="J193" s="2048"/>
      <c r="K193" s="2048"/>
      <c r="L193" s="2052"/>
      <c r="M193" s="2054"/>
      <c r="N193" s="2056"/>
      <c r="O193" s="2058"/>
      <c r="P193" s="2060"/>
      <c r="Q193" s="2060"/>
      <c r="R193" s="2060"/>
      <c r="S193" s="2060"/>
      <c r="T193" s="2060"/>
      <c r="U193" s="2060"/>
      <c r="V193" s="2060"/>
      <c r="W193" s="2060"/>
      <c r="X193" s="2060"/>
      <c r="Y193" s="2060"/>
      <c r="Z193" s="2068"/>
      <c r="AA193" s="2069"/>
    </row>
    <row r="194" spans="1:27" ht="11.25" customHeight="1">
      <c r="A194" s="2038"/>
      <c r="B194" s="2073"/>
      <c r="C194" s="2074"/>
      <c r="D194" s="2074"/>
      <c r="E194" s="2074"/>
      <c r="F194" s="2075"/>
      <c r="G194" s="2075"/>
      <c r="H194" s="2075"/>
      <c r="I194" s="2075"/>
      <c r="J194" s="2048"/>
      <c r="K194" s="2048"/>
      <c r="L194" s="2052"/>
      <c r="M194" s="2054"/>
      <c r="N194" s="2056"/>
      <c r="O194" s="2058"/>
      <c r="P194" s="2060"/>
      <c r="Q194" s="2060"/>
      <c r="R194" s="2060"/>
      <c r="S194" s="2060"/>
      <c r="T194" s="2060"/>
      <c r="U194" s="2060"/>
      <c r="V194" s="2060"/>
      <c r="W194" s="2060"/>
      <c r="X194" s="2060"/>
      <c r="Y194" s="2060"/>
      <c r="Z194" s="2070"/>
      <c r="AA194" s="2071"/>
    </row>
    <row r="195" spans="1:27" ht="11.25" customHeight="1">
      <c r="A195" s="2039"/>
      <c r="B195" s="2076" t="s">
        <v>437</v>
      </c>
      <c r="C195" s="2077"/>
      <c r="D195" s="2077"/>
      <c r="E195" s="2077"/>
      <c r="F195" s="2077"/>
      <c r="G195" s="2077"/>
      <c r="H195" s="2077"/>
      <c r="I195" s="2078"/>
      <c r="J195" s="2049"/>
      <c r="K195" s="2048"/>
      <c r="L195" s="2052"/>
      <c r="M195" s="2085" t="s">
        <v>143</v>
      </c>
      <c r="N195" s="2086">
        <f>SUM(P195:Y198)</f>
        <v>1071899</v>
      </c>
      <c r="O195" s="2058" t="s">
        <v>112</v>
      </c>
      <c r="P195" s="2087">
        <v>822407</v>
      </c>
      <c r="Q195" s="2087">
        <v>249492</v>
      </c>
      <c r="R195" s="2087">
        <v>0</v>
      </c>
      <c r="S195" s="2087">
        <v>0</v>
      </c>
      <c r="T195" s="2087">
        <v>0</v>
      </c>
      <c r="U195" s="2087">
        <v>0</v>
      </c>
      <c r="V195" s="2087">
        <v>0</v>
      </c>
      <c r="W195" s="2087">
        <v>0</v>
      </c>
      <c r="X195" s="2087">
        <v>0</v>
      </c>
      <c r="Y195" s="2087">
        <v>0</v>
      </c>
      <c r="Z195" s="2092"/>
      <c r="AA195" s="2093"/>
    </row>
    <row r="196" spans="1:27" ht="11.25" customHeight="1">
      <c r="A196" s="2039"/>
      <c r="B196" s="2079"/>
      <c r="C196" s="2080"/>
      <c r="D196" s="2080"/>
      <c r="E196" s="2080"/>
      <c r="F196" s="2080"/>
      <c r="G196" s="2080"/>
      <c r="H196" s="2080"/>
      <c r="I196" s="2081"/>
      <c r="J196" s="2049"/>
      <c r="K196" s="2048"/>
      <c r="L196" s="2052"/>
      <c r="M196" s="2085"/>
      <c r="N196" s="2058"/>
      <c r="O196" s="2058"/>
      <c r="P196" s="2087"/>
      <c r="Q196" s="2087"/>
      <c r="R196" s="2087"/>
      <c r="S196" s="2087"/>
      <c r="T196" s="2087"/>
      <c r="U196" s="2087"/>
      <c r="V196" s="2087"/>
      <c r="W196" s="2087"/>
      <c r="X196" s="2087"/>
      <c r="Y196" s="2087"/>
      <c r="Z196" s="2061"/>
      <c r="AA196" s="2062"/>
    </row>
    <row r="197" spans="1:27" ht="11.25" customHeight="1">
      <c r="A197" s="2039"/>
      <c r="B197" s="2079"/>
      <c r="C197" s="2080"/>
      <c r="D197" s="2080"/>
      <c r="E197" s="2080"/>
      <c r="F197" s="2080"/>
      <c r="G197" s="2080"/>
      <c r="H197" s="2080"/>
      <c r="I197" s="2081"/>
      <c r="J197" s="2049"/>
      <c r="K197" s="2048"/>
      <c r="L197" s="2089">
        <v>0</v>
      </c>
      <c r="M197" s="2085"/>
      <c r="N197" s="2058"/>
      <c r="O197" s="2058"/>
      <c r="P197" s="2087"/>
      <c r="Q197" s="2087"/>
      <c r="R197" s="2087"/>
      <c r="S197" s="2087"/>
      <c r="T197" s="2087"/>
      <c r="U197" s="2087"/>
      <c r="V197" s="2087"/>
      <c r="W197" s="2087"/>
      <c r="X197" s="2087"/>
      <c r="Y197" s="2087"/>
      <c r="Z197" s="2061" t="s">
        <v>154</v>
      </c>
      <c r="AA197" s="2062">
        <f>P191</f>
        <v>967538</v>
      </c>
    </row>
    <row r="198" spans="1:27" ht="11.25" customHeight="1">
      <c r="A198" s="2039"/>
      <c r="B198" s="2082"/>
      <c r="C198" s="2083"/>
      <c r="D198" s="2083"/>
      <c r="E198" s="2083"/>
      <c r="F198" s="2083"/>
      <c r="G198" s="2083"/>
      <c r="H198" s="2083"/>
      <c r="I198" s="2084"/>
      <c r="J198" s="2049"/>
      <c r="K198" s="2048"/>
      <c r="L198" s="2089"/>
      <c r="M198" s="2085"/>
      <c r="N198" s="2058"/>
      <c r="O198" s="2058"/>
      <c r="P198" s="2087"/>
      <c r="Q198" s="2087"/>
      <c r="R198" s="2087"/>
      <c r="S198" s="2087"/>
      <c r="T198" s="2087"/>
      <c r="U198" s="2087"/>
      <c r="V198" s="2087"/>
      <c r="W198" s="2087"/>
      <c r="X198" s="2087"/>
      <c r="Y198" s="2087"/>
      <c r="Z198" s="2061"/>
      <c r="AA198" s="2062"/>
    </row>
    <row r="199" spans="1:27" ht="11.25" customHeight="1">
      <c r="A199" s="2039"/>
      <c r="B199" s="2028" t="s">
        <v>356</v>
      </c>
      <c r="C199" s="2029"/>
      <c r="D199" s="2029"/>
      <c r="E199" s="2029"/>
      <c r="F199" s="2029"/>
      <c r="G199" s="2029"/>
      <c r="H199" s="2029"/>
      <c r="I199" s="2030"/>
      <c r="J199" s="2048"/>
      <c r="K199" s="2048"/>
      <c r="L199" s="2089"/>
      <c r="M199" s="2034" t="s">
        <v>439</v>
      </c>
      <c r="N199" s="2086">
        <f>SUM(P199:Y202)</f>
        <v>189159</v>
      </c>
      <c r="O199" s="2058" t="s">
        <v>112</v>
      </c>
      <c r="P199" s="2087">
        <v>145131</v>
      </c>
      <c r="Q199" s="2087">
        <v>44028</v>
      </c>
      <c r="R199" s="2087">
        <v>0</v>
      </c>
      <c r="S199" s="2087">
        <v>0</v>
      </c>
      <c r="T199" s="2087">
        <v>0</v>
      </c>
      <c r="U199" s="2087">
        <v>0</v>
      </c>
      <c r="V199" s="2087">
        <v>0</v>
      </c>
      <c r="W199" s="2087">
        <v>0</v>
      </c>
      <c r="X199" s="2087">
        <v>0</v>
      </c>
      <c r="Y199" s="2087">
        <v>0</v>
      </c>
      <c r="Z199" s="2061" t="s">
        <v>345</v>
      </c>
      <c r="AA199" s="2062">
        <f>Q191</f>
        <v>293520</v>
      </c>
    </row>
    <row r="200" spans="1:27" ht="11.25" customHeight="1">
      <c r="A200" s="2039"/>
      <c r="B200" s="2028"/>
      <c r="C200" s="2029"/>
      <c r="D200" s="2029"/>
      <c r="E200" s="2029"/>
      <c r="F200" s="2029"/>
      <c r="G200" s="2029"/>
      <c r="H200" s="2029"/>
      <c r="I200" s="2030"/>
      <c r="J200" s="2048"/>
      <c r="K200" s="2048"/>
      <c r="L200" s="2089"/>
      <c r="M200" s="2035"/>
      <c r="N200" s="2058"/>
      <c r="O200" s="2058"/>
      <c r="P200" s="2087"/>
      <c r="Q200" s="2087"/>
      <c r="R200" s="2087"/>
      <c r="S200" s="2087"/>
      <c r="T200" s="2087"/>
      <c r="U200" s="2087"/>
      <c r="V200" s="2087"/>
      <c r="W200" s="2087"/>
      <c r="X200" s="2087"/>
      <c r="Y200" s="2087"/>
      <c r="Z200" s="2061"/>
      <c r="AA200" s="2062"/>
    </row>
    <row r="201" spans="1:27" ht="11.25" customHeight="1">
      <c r="A201" s="2039"/>
      <c r="B201" s="2028"/>
      <c r="C201" s="2029"/>
      <c r="D201" s="2029"/>
      <c r="E201" s="2029"/>
      <c r="F201" s="2029"/>
      <c r="G201" s="2029"/>
      <c r="H201" s="2029"/>
      <c r="I201" s="2030"/>
      <c r="J201" s="2048"/>
      <c r="K201" s="2048"/>
      <c r="L201" s="2089"/>
      <c r="M201" s="2035"/>
      <c r="N201" s="2058"/>
      <c r="O201" s="2058"/>
      <c r="P201" s="2087"/>
      <c r="Q201" s="2087"/>
      <c r="R201" s="2087"/>
      <c r="S201" s="2087"/>
      <c r="T201" s="2087"/>
      <c r="U201" s="2087"/>
      <c r="V201" s="2087"/>
      <c r="W201" s="2087"/>
      <c r="X201" s="2087"/>
      <c r="Y201" s="2087"/>
      <c r="Z201" s="2063"/>
      <c r="AA201" s="2062"/>
    </row>
    <row r="202" spans="1:27" ht="11.25" customHeight="1" thickBot="1">
      <c r="A202" s="2040"/>
      <c r="B202" s="2031"/>
      <c r="C202" s="2032"/>
      <c r="D202" s="2032"/>
      <c r="E202" s="2032"/>
      <c r="F202" s="2032"/>
      <c r="G202" s="2032"/>
      <c r="H202" s="2032"/>
      <c r="I202" s="2033"/>
      <c r="J202" s="2050"/>
      <c r="K202" s="2050"/>
      <c r="L202" s="2090"/>
      <c r="M202" s="2036"/>
      <c r="N202" s="2091"/>
      <c r="O202" s="2091"/>
      <c r="P202" s="2088"/>
      <c r="Q202" s="2088"/>
      <c r="R202" s="2088"/>
      <c r="S202" s="2088"/>
      <c r="T202" s="2088"/>
      <c r="U202" s="2088"/>
      <c r="V202" s="2088"/>
      <c r="W202" s="2088"/>
      <c r="X202" s="2088"/>
      <c r="Y202" s="2088"/>
      <c r="Z202" s="2064"/>
      <c r="AA202" s="2065"/>
    </row>
    <row r="203" spans="1:27" ht="24.75" customHeight="1" thickTop="1" thickBot="1">
      <c r="A203" s="830"/>
      <c r="B203" s="831"/>
      <c r="C203" s="831"/>
      <c r="D203" s="831"/>
      <c r="E203" s="831"/>
      <c r="F203" s="831"/>
      <c r="G203" s="831"/>
      <c r="H203" s="831"/>
      <c r="I203" s="831"/>
      <c r="J203" s="832"/>
      <c r="K203" s="832"/>
      <c r="L203" s="814"/>
      <c r="M203" s="826"/>
      <c r="N203" s="832"/>
      <c r="O203" s="832"/>
      <c r="P203" s="656"/>
      <c r="Q203" s="656"/>
      <c r="R203" s="656"/>
      <c r="S203" s="656"/>
      <c r="T203" s="656"/>
      <c r="U203" s="656"/>
      <c r="V203" s="656"/>
      <c r="W203" s="656"/>
      <c r="X203" s="656"/>
      <c r="Y203" s="656"/>
      <c r="Z203" s="812"/>
      <c r="AA203" s="813"/>
    </row>
    <row r="204" spans="1:27" ht="22.5" customHeight="1" thickTop="1">
      <c r="A204" s="2037">
        <v>13</v>
      </c>
      <c r="B204" s="2094" t="s">
        <v>101</v>
      </c>
      <c r="C204" s="2095"/>
      <c r="D204" s="2096">
        <v>853</v>
      </c>
      <c r="E204" s="2097"/>
      <c r="F204" s="2098" t="s">
        <v>387</v>
      </c>
      <c r="G204" s="2099"/>
      <c r="H204" s="2099"/>
      <c r="I204" s="2100"/>
      <c r="J204" s="2047">
        <v>2013</v>
      </c>
      <c r="K204" s="2047">
        <v>2014</v>
      </c>
      <c r="L204" s="2051">
        <f>SUM(N204,L209)</f>
        <v>120650</v>
      </c>
      <c r="M204" s="2053" t="s">
        <v>120</v>
      </c>
      <c r="N204" s="2055">
        <f>SUM(N208:N211)</f>
        <v>120650</v>
      </c>
      <c r="O204" s="2057" t="s">
        <v>112</v>
      </c>
      <c r="P204" s="2059">
        <f t="shared" ref="P204:Y204" si="14">SUM(P208:P211)</f>
        <v>57844</v>
      </c>
      <c r="Q204" s="2059">
        <f t="shared" si="14"/>
        <v>62806</v>
      </c>
      <c r="R204" s="2059">
        <f t="shared" si="14"/>
        <v>0</v>
      </c>
      <c r="S204" s="2059">
        <f t="shared" si="14"/>
        <v>0</v>
      </c>
      <c r="T204" s="2059">
        <f t="shared" si="14"/>
        <v>0</v>
      </c>
      <c r="U204" s="2059">
        <f t="shared" si="14"/>
        <v>0</v>
      </c>
      <c r="V204" s="2059">
        <f t="shared" si="14"/>
        <v>0</v>
      </c>
      <c r="W204" s="2059">
        <f t="shared" si="14"/>
        <v>0</v>
      </c>
      <c r="X204" s="2059">
        <f t="shared" si="14"/>
        <v>0</v>
      </c>
      <c r="Y204" s="2059">
        <f t="shared" si="14"/>
        <v>0</v>
      </c>
      <c r="Z204" s="2066">
        <f>SUM(AA208:AA211)</f>
        <v>120650</v>
      </c>
      <c r="AA204" s="2067"/>
    </row>
    <row r="205" spans="1:27" ht="21" customHeight="1">
      <c r="A205" s="2038"/>
      <c r="B205" s="2101" t="s">
        <v>433</v>
      </c>
      <c r="C205" s="2102"/>
      <c r="D205" s="2103">
        <v>85395</v>
      </c>
      <c r="E205" s="2104"/>
      <c r="F205" s="2105" t="s">
        <v>130</v>
      </c>
      <c r="G205" s="2106"/>
      <c r="H205" s="2106"/>
      <c r="I205" s="2107"/>
      <c r="J205" s="2048"/>
      <c r="K205" s="2048"/>
      <c r="L205" s="2126"/>
      <c r="M205" s="2054"/>
      <c r="N205" s="2056"/>
      <c r="O205" s="2058"/>
      <c r="P205" s="2060"/>
      <c r="Q205" s="2060"/>
      <c r="R205" s="2060"/>
      <c r="S205" s="2060"/>
      <c r="T205" s="2060"/>
      <c r="U205" s="2060"/>
      <c r="V205" s="2060"/>
      <c r="W205" s="2060"/>
      <c r="X205" s="2060"/>
      <c r="Y205" s="2060"/>
      <c r="Z205" s="2068"/>
      <c r="AA205" s="2069"/>
    </row>
    <row r="206" spans="1:27" ht="11.25" customHeight="1">
      <c r="A206" s="2038"/>
      <c r="B206" s="2076" t="s">
        <v>440</v>
      </c>
      <c r="C206" s="2077"/>
      <c r="D206" s="2108"/>
      <c r="E206" s="2108"/>
      <c r="F206" s="2108"/>
      <c r="G206" s="2108"/>
      <c r="H206" s="2108"/>
      <c r="I206" s="2109"/>
      <c r="J206" s="2048"/>
      <c r="K206" s="2048"/>
      <c r="L206" s="2126"/>
      <c r="M206" s="2054"/>
      <c r="N206" s="2056"/>
      <c r="O206" s="2058"/>
      <c r="P206" s="2060"/>
      <c r="Q206" s="2060"/>
      <c r="R206" s="2060"/>
      <c r="S206" s="2060"/>
      <c r="T206" s="2060"/>
      <c r="U206" s="2060"/>
      <c r="V206" s="2060"/>
      <c r="W206" s="2060"/>
      <c r="X206" s="2060"/>
      <c r="Y206" s="2060"/>
      <c r="Z206" s="2068"/>
      <c r="AA206" s="2069"/>
    </row>
    <row r="207" spans="1:27" ht="50.25" customHeight="1">
      <c r="A207" s="2038"/>
      <c r="B207" s="2082"/>
      <c r="C207" s="2083"/>
      <c r="D207" s="2110"/>
      <c r="E207" s="2110"/>
      <c r="F207" s="2110"/>
      <c r="G207" s="2110"/>
      <c r="H207" s="2110"/>
      <c r="I207" s="2111"/>
      <c r="J207" s="2048"/>
      <c r="K207" s="2048"/>
      <c r="L207" s="2126"/>
      <c r="M207" s="2054"/>
      <c r="N207" s="2056"/>
      <c r="O207" s="2058"/>
      <c r="P207" s="2060"/>
      <c r="Q207" s="2060"/>
      <c r="R207" s="2060"/>
      <c r="S207" s="2060"/>
      <c r="T207" s="2060"/>
      <c r="U207" s="2060"/>
      <c r="V207" s="2060"/>
      <c r="W207" s="2060"/>
      <c r="X207" s="2060"/>
      <c r="Y207" s="2060"/>
      <c r="Z207" s="2070"/>
      <c r="AA207" s="2071"/>
    </row>
    <row r="208" spans="1:27" ht="11.25" customHeight="1">
      <c r="A208" s="2039"/>
      <c r="B208" s="2028" t="s">
        <v>356</v>
      </c>
      <c r="C208" s="2029"/>
      <c r="D208" s="2029"/>
      <c r="E208" s="2029"/>
      <c r="F208" s="2029"/>
      <c r="G208" s="2029"/>
      <c r="H208" s="2029"/>
      <c r="I208" s="2030"/>
      <c r="J208" s="2049"/>
      <c r="K208" s="2048"/>
      <c r="L208" s="2126"/>
      <c r="M208" s="2085" t="s">
        <v>441</v>
      </c>
      <c r="N208" s="2086">
        <f>SUM(P208:Y211)</f>
        <v>120650</v>
      </c>
      <c r="O208" s="2058" t="s">
        <v>112</v>
      </c>
      <c r="P208" s="2087">
        <v>57844</v>
      </c>
      <c r="Q208" s="2087">
        <v>62806</v>
      </c>
      <c r="R208" s="2087">
        <v>0</v>
      </c>
      <c r="S208" s="2087">
        <v>0</v>
      </c>
      <c r="T208" s="2087">
        <v>0</v>
      </c>
      <c r="U208" s="2087">
        <v>0</v>
      </c>
      <c r="V208" s="2087">
        <v>0</v>
      </c>
      <c r="W208" s="2087">
        <v>0</v>
      </c>
      <c r="X208" s="2087">
        <v>0</v>
      </c>
      <c r="Y208" s="2087">
        <v>0</v>
      </c>
      <c r="Z208" s="2061" t="s">
        <v>154</v>
      </c>
      <c r="AA208" s="2062">
        <f>P204</f>
        <v>57844</v>
      </c>
    </row>
    <row r="209" spans="1:27" ht="11.25" customHeight="1">
      <c r="A209" s="2039"/>
      <c r="B209" s="2028"/>
      <c r="C209" s="2029"/>
      <c r="D209" s="2029"/>
      <c r="E209" s="2029"/>
      <c r="F209" s="2029"/>
      <c r="G209" s="2029"/>
      <c r="H209" s="2029"/>
      <c r="I209" s="2030"/>
      <c r="J209" s="2049"/>
      <c r="K209" s="2048"/>
      <c r="L209" s="2125">
        <v>0</v>
      </c>
      <c r="M209" s="2085"/>
      <c r="N209" s="2058"/>
      <c r="O209" s="2058"/>
      <c r="P209" s="2087"/>
      <c r="Q209" s="2087"/>
      <c r="R209" s="2087"/>
      <c r="S209" s="2087"/>
      <c r="T209" s="2087"/>
      <c r="U209" s="2087"/>
      <c r="V209" s="2087"/>
      <c r="W209" s="2087"/>
      <c r="X209" s="2087"/>
      <c r="Y209" s="2087"/>
      <c r="Z209" s="2061"/>
      <c r="AA209" s="2062"/>
    </row>
    <row r="210" spans="1:27" ht="11.25" customHeight="1">
      <c r="A210" s="2039"/>
      <c r="B210" s="2028"/>
      <c r="C210" s="2029"/>
      <c r="D210" s="2029"/>
      <c r="E210" s="2029"/>
      <c r="F210" s="2029"/>
      <c r="G210" s="2029"/>
      <c r="H210" s="2029"/>
      <c r="I210" s="2030"/>
      <c r="J210" s="2049"/>
      <c r="K210" s="2048"/>
      <c r="L210" s="2126"/>
      <c r="M210" s="2085"/>
      <c r="N210" s="2058"/>
      <c r="O210" s="2058"/>
      <c r="P210" s="2087"/>
      <c r="Q210" s="2087"/>
      <c r="R210" s="2087"/>
      <c r="S210" s="2087"/>
      <c r="T210" s="2087"/>
      <c r="U210" s="2087"/>
      <c r="V210" s="2087"/>
      <c r="W210" s="2087"/>
      <c r="X210" s="2087"/>
      <c r="Y210" s="2087"/>
      <c r="Z210" s="2061" t="s">
        <v>345</v>
      </c>
      <c r="AA210" s="2062">
        <f>Q204</f>
        <v>62806</v>
      </c>
    </row>
    <row r="211" spans="1:27" ht="20.25" customHeight="1" thickBot="1">
      <c r="A211" s="2040"/>
      <c r="B211" s="2031"/>
      <c r="C211" s="2032"/>
      <c r="D211" s="2032"/>
      <c r="E211" s="2032"/>
      <c r="F211" s="2032"/>
      <c r="G211" s="2032"/>
      <c r="H211" s="2032"/>
      <c r="I211" s="2033"/>
      <c r="J211" s="2128"/>
      <c r="K211" s="2050"/>
      <c r="L211" s="2127"/>
      <c r="M211" s="2129"/>
      <c r="N211" s="2091"/>
      <c r="O211" s="2091"/>
      <c r="P211" s="2088"/>
      <c r="Q211" s="2088"/>
      <c r="R211" s="2088"/>
      <c r="S211" s="2088"/>
      <c r="T211" s="2088"/>
      <c r="U211" s="2088"/>
      <c r="V211" s="2088"/>
      <c r="W211" s="2088"/>
      <c r="X211" s="2088"/>
      <c r="Y211" s="2088"/>
      <c r="Z211" s="2061"/>
      <c r="AA211" s="2062"/>
    </row>
    <row r="212" spans="1:27" ht="12.75" customHeight="1" thickTop="1" thickBot="1">
      <c r="A212" s="806"/>
      <c r="B212" s="807"/>
      <c r="C212" s="807"/>
      <c r="D212" s="807"/>
      <c r="E212" s="807"/>
      <c r="F212" s="807"/>
      <c r="G212" s="807"/>
      <c r="H212" s="807"/>
      <c r="I212" s="807"/>
      <c r="J212" s="808"/>
      <c r="K212" s="808"/>
      <c r="L212" s="814"/>
      <c r="M212" s="826"/>
      <c r="N212" s="808"/>
      <c r="O212" s="808"/>
      <c r="P212" s="656"/>
      <c r="Q212" s="656"/>
      <c r="R212" s="656"/>
      <c r="S212" s="656"/>
      <c r="T212" s="656"/>
      <c r="U212" s="656"/>
      <c r="V212" s="656"/>
      <c r="W212" s="656"/>
      <c r="X212" s="656"/>
      <c r="Y212" s="656"/>
      <c r="Z212" s="812"/>
      <c r="AA212" s="813"/>
    </row>
    <row r="213" spans="1:27" ht="24.75" customHeight="1" thickTop="1">
      <c r="A213" s="2037">
        <v>14</v>
      </c>
      <c r="B213" s="2094" t="s">
        <v>101</v>
      </c>
      <c r="C213" s="2095"/>
      <c r="D213" s="2096">
        <v>852</v>
      </c>
      <c r="E213" s="2097"/>
      <c r="F213" s="2098" t="s">
        <v>150</v>
      </c>
      <c r="G213" s="2099"/>
      <c r="H213" s="2099"/>
      <c r="I213" s="2100"/>
      <c r="J213" s="2047">
        <v>2013</v>
      </c>
      <c r="K213" s="2047">
        <v>2015</v>
      </c>
      <c r="L213" s="2051">
        <f>SUM(N213,L219)</f>
        <v>1479920</v>
      </c>
      <c r="M213" s="2053" t="s">
        <v>120</v>
      </c>
      <c r="N213" s="2055">
        <f>SUM(N217:N223)</f>
        <v>1479920</v>
      </c>
      <c r="O213" s="2057" t="s">
        <v>112</v>
      </c>
      <c r="P213" s="2059">
        <f>SUM(P217:P223)</f>
        <v>569694</v>
      </c>
      <c r="Q213" s="2059">
        <f>SUM(Q217:Q223)</f>
        <v>655103</v>
      </c>
      <c r="R213" s="2059">
        <f>SUM(R217:R223)</f>
        <v>255123</v>
      </c>
      <c r="S213" s="2059">
        <f t="shared" ref="S213:Y213" si="15">SUM(S217:S223)</f>
        <v>0</v>
      </c>
      <c r="T213" s="2059">
        <f t="shared" si="15"/>
        <v>0</v>
      </c>
      <c r="U213" s="2059">
        <f t="shared" si="15"/>
        <v>0</v>
      </c>
      <c r="V213" s="2059">
        <f t="shared" si="15"/>
        <v>0</v>
      </c>
      <c r="W213" s="2059">
        <f t="shared" si="15"/>
        <v>0</v>
      </c>
      <c r="X213" s="2059">
        <f t="shared" si="15"/>
        <v>0</v>
      </c>
      <c r="Y213" s="2059">
        <f t="shared" si="15"/>
        <v>0</v>
      </c>
      <c r="Z213" s="2066">
        <f>SUM(P213:R216)</f>
        <v>1479920</v>
      </c>
      <c r="AA213" s="2067"/>
    </row>
    <row r="214" spans="1:27" ht="23.25" customHeight="1">
      <c r="A214" s="2038"/>
      <c r="B214" s="2101" t="s">
        <v>433</v>
      </c>
      <c r="C214" s="2102"/>
      <c r="D214" s="2103">
        <v>85232</v>
      </c>
      <c r="E214" s="2104"/>
      <c r="F214" s="2105" t="s">
        <v>454</v>
      </c>
      <c r="G214" s="2106"/>
      <c r="H214" s="2106"/>
      <c r="I214" s="2107"/>
      <c r="J214" s="2048"/>
      <c r="K214" s="2048"/>
      <c r="L214" s="2052"/>
      <c r="M214" s="2054"/>
      <c r="N214" s="2056"/>
      <c r="O214" s="2058"/>
      <c r="P214" s="2060"/>
      <c r="Q214" s="2060"/>
      <c r="R214" s="2060"/>
      <c r="S214" s="2060"/>
      <c r="T214" s="2060"/>
      <c r="U214" s="2060"/>
      <c r="V214" s="2060"/>
      <c r="W214" s="2060"/>
      <c r="X214" s="2060"/>
      <c r="Y214" s="2060"/>
      <c r="Z214" s="2068"/>
      <c r="AA214" s="2069"/>
    </row>
    <row r="215" spans="1:27" ht="12.75" customHeight="1">
      <c r="A215" s="2038"/>
      <c r="B215" s="2076" t="s">
        <v>451</v>
      </c>
      <c r="C215" s="2077"/>
      <c r="D215" s="2108"/>
      <c r="E215" s="2108"/>
      <c r="F215" s="2108"/>
      <c r="G215" s="2108"/>
      <c r="H215" s="2108"/>
      <c r="I215" s="2109"/>
      <c r="J215" s="2048"/>
      <c r="K215" s="2048"/>
      <c r="L215" s="2052"/>
      <c r="M215" s="2054"/>
      <c r="N215" s="2056"/>
      <c r="O215" s="2058"/>
      <c r="P215" s="2060"/>
      <c r="Q215" s="2060"/>
      <c r="R215" s="2060"/>
      <c r="S215" s="2060"/>
      <c r="T215" s="2060"/>
      <c r="U215" s="2060"/>
      <c r="V215" s="2060"/>
      <c r="W215" s="2060"/>
      <c r="X215" s="2060"/>
      <c r="Y215" s="2060"/>
      <c r="Z215" s="2068"/>
      <c r="AA215" s="2069"/>
    </row>
    <row r="216" spans="1:27" ht="27" customHeight="1">
      <c r="A216" s="2038"/>
      <c r="B216" s="2082"/>
      <c r="C216" s="2083"/>
      <c r="D216" s="2110"/>
      <c r="E216" s="2110"/>
      <c r="F216" s="2110"/>
      <c r="G216" s="2110"/>
      <c r="H216" s="2110"/>
      <c r="I216" s="2111"/>
      <c r="J216" s="2048"/>
      <c r="K216" s="2048"/>
      <c r="L216" s="2052"/>
      <c r="M216" s="2054"/>
      <c r="N216" s="2056"/>
      <c r="O216" s="2058"/>
      <c r="P216" s="2060"/>
      <c r="Q216" s="2060"/>
      <c r="R216" s="2060"/>
      <c r="S216" s="2060"/>
      <c r="T216" s="2060"/>
      <c r="U216" s="2060"/>
      <c r="V216" s="2060"/>
      <c r="W216" s="2060"/>
      <c r="X216" s="2060"/>
      <c r="Y216" s="2060"/>
      <c r="Z216" s="2070"/>
      <c r="AA216" s="2071"/>
    </row>
    <row r="217" spans="1:27">
      <c r="A217" s="2039"/>
      <c r="B217" s="2112" t="s">
        <v>455</v>
      </c>
      <c r="C217" s="2113"/>
      <c r="D217" s="2113"/>
      <c r="E217" s="2113"/>
      <c r="F217" s="2113"/>
      <c r="G217" s="2113"/>
      <c r="H217" s="2113"/>
      <c r="I217" s="2114"/>
      <c r="J217" s="2049"/>
      <c r="K217" s="2048"/>
      <c r="L217" s="2052"/>
      <c r="M217" s="2085" t="s">
        <v>143</v>
      </c>
      <c r="N217" s="2086">
        <f>SUM(P217:Y219)</f>
        <v>1257932</v>
      </c>
      <c r="O217" s="2058" t="s">
        <v>112</v>
      </c>
      <c r="P217" s="2087">
        <v>484240</v>
      </c>
      <c r="Q217" s="2087">
        <v>556838</v>
      </c>
      <c r="R217" s="2087">
        <v>216854</v>
      </c>
      <c r="S217" s="2087">
        <v>0</v>
      </c>
      <c r="T217" s="2087">
        <v>0</v>
      </c>
      <c r="U217" s="2087">
        <v>0</v>
      </c>
      <c r="V217" s="2087">
        <v>0</v>
      </c>
      <c r="W217" s="2087">
        <v>0</v>
      </c>
      <c r="X217" s="2087">
        <v>0</v>
      </c>
      <c r="Y217" s="2087">
        <v>0</v>
      </c>
      <c r="Z217" s="2092"/>
      <c r="AA217" s="2093"/>
    </row>
    <row r="218" spans="1:27">
      <c r="A218" s="2039"/>
      <c r="B218" s="2028"/>
      <c r="C218" s="2029"/>
      <c r="D218" s="2029"/>
      <c r="E218" s="2029"/>
      <c r="F218" s="2029"/>
      <c r="G218" s="2029"/>
      <c r="H218" s="2029"/>
      <c r="I218" s="2030"/>
      <c r="J218" s="2049"/>
      <c r="K218" s="2048"/>
      <c r="L218" s="2052"/>
      <c r="M218" s="2085"/>
      <c r="N218" s="2058"/>
      <c r="O218" s="2058"/>
      <c r="P218" s="2087"/>
      <c r="Q218" s="2087"/>
      <c r="R218" s="2087"/>
      <c r="S218" s="2087"/>
      <c r="T218" s="2087"/>
      <c r="U218" s="2087"/>
      <c r="V218" s="2087"/>
      <c r="W218" s="2087"/>
      <c r="X218" s="2087"/>
      <c r="Y218" s="2087"/>
      <c r="Z218" s="2061"/>
      <c r="AA218" s="2062"/>
    </row>
    <row r="219" spans="1:27" ht="6" customHeight="1">
      <c r="A219" s="2039"/>
      <c r="B219" s="2028"/>
      <c r="C219" s="2029"/>
      <c r="D219" s="2029"/>
      <c r="E219" s="2029"/>
      <c r="F219" s="2029"/>
      <c r="G219" s="2029"/>
      <c r="H219" s="2029"/>
      <c r="I219" s="2030"/>
      <c r="J219" s="2049"/>
      <c r="K219" s="2048"/>
      <c r="L219" s="2089">
        <v>0</v>
      </c>
      <c r="M219" s="2085"/>
      <c r="N219" s="2058"/>
      <c r="O219" s="2058"/>
      <c r="P219" s="2087"/>
      <c r="Q219" s="2087"/>
      <c r="R219" s="2087"/>
      <c r="S219" s="2087"/>
      <c r="T219" s="2087"/>
      <c r="U219" s="2087"/>
      <c r="V219" s="2087"/>
      <c r="W219" s="2087"/>
      <c r="X219" s="2087"/>
      <c r="Y219" s="2087"/>
      <c r="Z219" s="1144"/>
      <c r="AA219" s="1145"/>
    </row>
    <row r="220" spans="1:27" ht="13.5" hidden="1" customHeight="1">
      <c r="A220" s="2039"/>
      <c r="B220" s="2115"/>
      <c r="C220" s="2116"/>
      <c r="D220" s="2116"/>
      <c r="E220" s="2116"/>
      <c r="F220" s="2116"/>
      <c r="G220" s="2116"/>
      <c r="H220" s="2116"/>
      <c r="I220" s="2117"/>
      <c r="J220" s="2048"/>
      <c r="K220" s="2048"/>
      <c r="L220" s="2089"/>
      <c r="M220" s="2034" t="s">
        <v>456</v>
      </c>
      <c r="N220" s="2086">
        <f>SUM(P220:Y223)</f>
        <v>221988</v>
      </c>
      <c r="O220" s="2058" t="s">
        <v>112</v>
      </c>
      <c r="P220" s="2087">
        <v>85454</v>
      </c>
      <c r="Q220" s="2087">
        <v>98265</v>
      </c>
      <c r="R220" s="2087">
        <v>38269</v>
      </c>
      <c r="S220" s="2087">
        <v>0</v>
      </c>
      <c r="T220" s="2087">
        <v>0</v>
      </c>
      <c r="U220" s="2087">
        <v>0</v>
      </c>
      <c r="V220" s="2087">
        <v>0</v>
      </c>
      <c r="W220" s="2087">
        <v>0</v>
      </c>
      <c r="X220" s="2087">
        <v>0</v>
      </c>
      <c r="Y220" s="2087">
        <v>0</v>
      </c>
      <c r="Z220" s="2061"/>
      <c r="AA220" s="2062"/>
    </row>
    <row r="221" spans="1:27">
      <c r="A221" s="2039"/>
      <c r="B221" s="2115"/>
      <c r="C221" s="2116"/>
      <c r="D221" s="2116"/>
      <c r="E221" s="2116"/>
      <c r="F221" s="2116"/>
      <c r="G221" s="2116"/>
      <c r="H221" s="2116"/>
      <c r="I221" s="2117"/>
      <c r="J221" s="2048"/>
      <c r="K221" s="2048"/>
      <c r="L221" s="2089"/>
      <c r="M221" s="2035"/>
      <c r="N221" s="2058"/>
      <c r="O221" s="2058"/>
      <c r="P221" s="2087"/>
      <c r="Q221" s="2087"/>
      <c r="R221" s="2087"/>
      <c r="S221" s="2087"/>
      <c r="T221" s="2087"/>
      <c r="U221" s="2087"/>
      <c r="V221" s="2087"/>
      <c r="W221" s="2087"/>
      <c r="X221" s="2087"/>
      <c r="Y221" s="2087"/>
      <c r="Z221" s="2061"/>
      <c r="AA221" s="2062"/>
    </row>
    <row r="222" spans="1:27" ht="12.75" customHeight="1">
      <c r="A222" s="2039"/>
      <c r="B222" s="2115"/>
      <c r="C222" s="2116"/>
      <c r="D222" s="2116"/>
      <c r="E222" s="2116"/>
      <c r="F222" s="2116"/>
      <c r="G222" s="2116"/>
      <c r="H222" s="2116"/>
      <c r="I222" s="2117"/>
      <c r="J222" s="2048"/>
      <c r="K222" s="2048"/>
      <c r="L222" s="2089"/>
      <c r="M222" s="2035"/>
      <c r="N222" s="2058"/>
      <c r="O222" s="2058"/>
      <c r="P222" s="2087"/>
      <c r="Q222" s="2087"/>
      <c r="R222" s="2087"/>
      <c r="S222" s="2087"/>
      <c r="T222" s="2087"/>
      <c r="U222" s="2087"/>
      <c r="V222" s="2087"/>
      <c r="W222" s="2087"/>
      <c r="X222" s="2087"/>
      <c r="Y222" s="2087"/>
      <c r="Z222" s="2063"/>
      <c r="AA222" s="2062"/>
    </row>
    <row r="223" spans="1:27" ht="13.5" thickBot="1">
      <c r="A223" s="2040"/>
      <c r="B223" s="2118"/>
      <c r="C223" s="2119"/>
      <c r="D223" s="2119"/>
      <c r="E223" s="2119"/>
      <c r="F223" s="2119"/>
      <c r="G223" s="2119"/>
      <c r="H223" s="2119"/>
      <c r="I223" s="2120"/>
      <c r="J223" s="2050"/>
      <c r="K223" s="2050"/>
      <c r="L223" s="2090"/>
      <c r="M223" s="2036"/>
      <c r="N223" s="2091"/>
      <c r="O223" s="2091"/>
      <c r="P223" s="2088"/>
      <c r="Q223" s="2088"/>
      <c r="R223" s="2088"/>
      <c r="S223" s="2088"/>
      <c r="T223" s="2088"/>
      <c r="U223" s="2088"/>
      <c r="V223" s="2088"/>
      <c r="W223" s="2088"/>
      <c r="X223" s="2088"/>
      <c r="Y223" s="2088"/>
      <c r="Z223" s="2064"/>
      <c r="AA223" s="2065"/>
    </row>
    <row r="224" spans="1:27" ht="15" customHeight="1" thickTop="1" thickBot="1">
      <c r="A224" s="806"/>
      <c r="B224" s="807"/>
      <c r="C224" s="807"/>
      <c r="D224" s="807"/>
      <c r="E224" s="807"/>
      <c r="F224" s="807"/>
      <c r="G224" s="807"/>
      <c r="H224" s="807"/>
      <c r="I224" s="807"/>
      <c r="J224" s="808"/>
      <c r="K224" s="808"/>
      <c r="L224" s="814"/>
      <c r="M224" s="826"/>
      <c r="N224" s="808"/>
      <c r="O224" s="808"/>
      <c r="P224" s="656"/>
      <c r="Q224" s="656"/>
      <c r="R224" s="656"/>
      <c r="S224" s="656"/>
      <c r="T224" s="656"/>
      <c r="U224" s="656"/>
      <c r="V224" s="656"/>
      <c r="W224" s="656"/>
      <c r="X224" s="656"/>
      <c r="Y224" s="656"/>
      <c r="Z224" s="812"/>
      <c r="AA224" s="813"/>
    </row>
    <row r="225" spans="1:27" ht="15" customHeight="1" thickTop="1">
      <c r="A225" s="2037"/>
      <c r="B225" s="2041" t="s">
        <v>101</v>
      </c>
      <c r="C225" s="2042"/>
      <c r="D225" s="2042">
        <v>750</v>
      </c>
      <c r="E225" s="2042"/>
      <c r="F225" s="2045"/>
      <c r="G225" s="2045"/>
      <c r="H225" s="2045"/>
      <c r="I225" s="2045"/>
      <c r="J225" s="2047">
        <v>2013</v>
      </c>
      <c r="K225" s="2047">
        <v>2015</v>
      </c>
      <c r="L225" s="2051">
        <f>SUM(N225,L231)</f>
        <v>644835</v>
      </c>
      <c r="M225" s="2053" t="s">
        <v>120</v>
      </c>
      <c r="N225" s="2055">
        <f>SUM(N229:N236)</f>
        <v>644835</v>
      </c>
      <c r="O225" s="2057" t="s">
        <v>112</v>
      </c>
      <c r="P225" s="2059">
        <f>SUM(P229:P236)</f>
        <v>16833</v>
      </c>
      <c r="Q225" s="2059">
        <f>SUM(Q229:Q236)</f>
        <v>525367</v>
      </c>
      <c r="R225" s="2059">
        <f>SUM(R229:R236)</f>
        <v>102635</v>
      </c>
      <c r="S225" s="2059">
        <f t="shared" ref="S225:Y225" si="16">SUM(S229:S236)</f>
        <v>0</v>
      </c>
      <c r="T225" s="2059">
        <f t="shared" si="16"/>
        <v>0</v>
      </c>
      <c r="U225" s="2059">
        <f t="shared" si="16"/>
        <v>0</v>
      </c>
      <c r="V225" s="2059">
        <f t="shared" si="16"/>
        <v>0</v>
      </c>
      <c r="W225" s="2059">
        <f t="shared" si="16"/>
        <v>0</v>
      </c>
      <c r="X225" s="2059">
        <f t="shared" si="16"/>
        <v>0</v>
      </c>
      <c r="Y225" s="2059">
        <f t="shared" si="16"/>
        <v>0</v>
      </c>
      <c r="Z225" s="2066">
        <f>SUM(AA229:AA236)</f>
        <v>644835</v>
      </c>
      <c r="AA225" s="2067"/>
    </row>
    <row r="226" spans="1:27" ht="9.75" customHeight="1">
      <c r="A226" s="2038"/>
      <c r="B226" s="2043"/>
      <c r="C226" s="2044"/>
      <c r="D226" s="2044"/>
      <c r="E226" s="2044"/>
      <c r="F226" s="2046"/>
      <c r="G226" s="2046"/>
      <c r="H226" s="2046"/>
      <c r="I226" s="2046"/>
      <c r="J226" s="2048"/>
      <c r="K226" s="2048"/>
      <c r="L226" s="2052"/>
      <c r="M226" s="2054"/>
      <c r="N226" s="2056"/>
      <c r="O226" s="2058"/>
      <c r="P226" s="2060"/>
      <c r="Q226" s="2060"/>
      <c r="R226" s="2060"/>
      <c r="S226" s="2060"/>
      <c r="T226" s="2060"/>
      <c r="U226" s="2060"/>
      <c r="V226" s="2060"/>
      <c r="W226" s="2060"/>
      <c r="X226" s="2060"/>
      <c r="Y226" s="2060"/>
      <c r="Z226" s="2068"/>
      <c r="AA226" s="2069"/>
    </row>
    <row r="227" spans="1:27" ht="15" customHeight="1">
      <c r="A227" s="2038"/>
      <c r="B227" s="2072" t="s">
        <v>107</v>
      </c>
      <c r="C227" s="2058"/>
      <c r="D227" s="2058">
        <v>75075</v>
      </c>
      <c r="E227" s="2058"/>
      <c r="F227" s="2046"/>
      <c r="G227" s="2046"/>
      <c r="H227" s="2046"/>
      <c r="I227" s="2046"/>
      <c r="J227" s="2048"/>
      <c r="K227" s="2048"/>
      <c r="L227" s="2052"/>
      <c r="M227" s="2054"/>
      <c r="N227" s="2056"/>
      <c r="O227" s="2058"/>
      <c r="P227" s="2060"/>
      <c r="Q227" s="2060"/>
      <c r="R227" s="2060"/>
      <c r="S227" s="2060"/>
      <c r="T227" s="2060"/>
      <c r="U227" s="2060"/>
      <c r="V227" s="2060"/>
      <c r="W227" s="2060"/>
      <c r="X227" s="2060"/>
      <c r="Y227" s="2060"/>
      <c r="Z227" s="2068"/>
      <c r="AA227" s="2069"/>
    </row>
    <row r="228" spans="1:27" ht="12.75" customHeight="1">
      <c r="A228" s="2038"/>
      <c r="B228" s="2073"/>
      <c r="C228" s="2074"/>
      <c r="D228" s="2074"/>
      <c r="E228" s="2074"/>
      <c r="F228" s="2075"/>
      <c r="G228" s="2075"/>
      <c r="H228" s="2075"/>
      <c r="I228" s="2075"/>
      <c r="J228" s="2048"/>
      <c r="K228" s="2048"/>
      <c r="L228" s="2052"/>
      <c r="M228" s="2054"/>
      <c r="N228" s="2056"/>
      <c r="O228" s="2058"/>
      <c r="P228" s="2060"/>
      <c r="Q228" s="2060"/>
      <c r="R228" s="2060"/>
      <c r="S228" s="2060"/>
      <c r="T228" s="2060"/>
      <c r="U228" s="2060"/>
      <c r="V228" s="2060"/>
      <c r="W228" s="2060"/>
      <c r="X228" s="2060"/>
      <c r="Y228" s="2060"/>
      <c r="Z228" s="2070"/>
      <c r="AA228" s="2071"/>
    </row>
    <row r="229" spans="1:27" ht="15" customHeight="1">
      <c r="A229" s="2039"/>
      <c r="B229" s="2076" t="s">
        <v>491</v>
      </c>
      <c r="C229" s="2077"/>
      <c r="D229" s="2077"/>
      <c r="E229" s="2077"/>
      <c r="F229" s="2077"/>
      <c r="G229" s="2077"/>
      <c r="H229" s="2077"/>
      <c r="I229" s="2078"/>
      <c r="J229" s="2049"/>
      <c r="K229" s="2048"/>
      <c r="L229" s="2052"/>
      <c r="M229" s="2085" t="s">
        <v>143</v>
      </c>
      <c r="N229" s="2086">
        <f>SUM(P229:Y232)</f>
        <v>576360</v>
      </c>
      <c r="O229" s="2058" t="s">
        <v>112</v>
      </c>
      <c r="P229" s="2087">
        <v>12960</v>
      </c>
      <c r="Q229" s="2087">
        <v>471420</v>
      </c>
      <c r="R229" s="2087">
        <v>91980</v>
      </c>
      <c r="S229" s="2087">
        <v>0</v>
      </c>
      <c r="T229" s="2087">
        <v>0</v>
      </c>
      <c r="U229" s="2087">
        <v>0</v>
      </c>
      <c r="V229" s="2087">
        <v>0</v>
      </c>
      <c r="W229" s="2087">
        <v>0</v>
      </c>
      <c r="X229" s="2087">
        <v>0</v>
      </c>
      <c r="Y229" s="2087">
        <v>0</v>
      </c>
      <c r="Z229" s="2092"/>
      <c r="AA229" s="2093"/>
    </row>
    <row r="230" spans="1:27" ht="15" customHeight="1">
      <c r="A230" s="2039"/>
      <c r="B230" s="2079"/>
      <c r="C230" s="2080"/>
      <c r="D230" s="2080"/>
      <c r="E230" s="2080"/>
      <c r="F230" s="2080"/>
      <c r="G230" s="2080"/>
      <c r="H230" s="2080"/>
      <c r="I230" s="2081"/>
      <c r="J230" s="2049"/>
      <c r="K230" s="2048"/>
      <c r="L230" s="2052"/>
      <c r="M230" s="2085"/>
      <c r="N230" s="2058"/>
      <c r="O230" s="2058"/>
      <c r="P230" s="2087"/>
      <c r="Q230" s="2087"/>
      <c r="R230" s="2087"/>
      <c r="S230" s="2087"/>
      <c r="T230" s="2087"/>
      <c r="U230" s="2087"/>
      <c r="V230" s="2087"/>
      <c r="W230" s="2087"/>
      <c r="X230" s="2087"/>
      <c r="Y230" s="2087"/>
      <c r="Z230" s="2061"/>
      <c r="AA230" s="2062"/>
    </row>
    <row r="231" spans="1:27" ht="8.25" customHeight="1">
      <c r="A231" s="2039"/>
      <c r="B231" s="2079"/>
      <c r="C231" s="2080"/>
      <c r="D231" s="2080"/>
      <c r="E231" s="2080"/>
      <c r="F231" s="2080"/>
      <c r="G231" s="2080"/>
      <c r="H231" s="2080"/>
      <c r="I231" s="2081"/>
      <c r="J231" s="2049"/>
      <c r="K231" s="2048"/>
      <c r="L231" s="2089"/>
      <c r="M231" s="2085"/>
      <c r="N231" s="2058"/>
      <c r="O231" s="2058"/>
      <c r="P231" s="2087"/>
      <c r="Q231" s="2087"/>
      <c r="R231" s="2087"/>
      <c r="S231" s="2087"/>
      <c r="T231" s="2087"/>
      <c r="U231" s="2087"/>
      <c r="V231" s="2087"/>
      <c r="W231" s="2087"/>
      <c r="X231" s="2087"/>
      <c r="Y231" s="2087"/>
      <c r="Z231" s="2061" t="s">
        <v>154</v>
      </c>
      <c r="AA231" s="2062">
        <f>P225</f>
        <v>16833</v>
      </c>
    </row>
    <row r="232" spans="1:27" ht="15" customHeight="1">
      <c r="A232" s="2039"/>
      <c r="B232" s="2082"/>
      <c r="C232" s="2083"/>
      <c r="D232" s="2083"/>
      <c r="E232" s="2083"/>
      <c r="F232" s="2083"/>
      <c r="G232" s="2083"/>
      <c r="H232" s="2083"/>
      <c r="I232" s="2084"/>
      <c r="J232" s="2049"/>
      <c r="K232" s="2048"/>
      <c r="L232" s="2089"/>
      <c r="M232" s="2085"/>
      <c r="N232" s="2058"/>
      <c r="O232" s="2058"/>
      <c r="P232" s="2087"/>
      <c r="Q232" s="2087"/>
      <c r="R232" s="2087"/>
      <c r="S232" s="2087"/>
      <c r="T232" s="2087"/>
      <c r="U232" s="2087"/>
      <c r="V232" s="2087"/>
      <c r="W232" s="2087"/>
      <c r="X232" s="2087"/>
      <c r="Y232" s="2087"/>
      <c r="Z232" s="2061"/>
      <c r="AA232" s="2062"/>
    </row>
    <row r="233" spans="1:27" ht="15" customHeight="1">
      <c r="A233" s="2039"/>
      <c r="B233" s="2028" t="s">
        <v>492</v>
      </c>
      <c r="C233" s="2029"/>
      <c r="D233" s="2029"/>
      <c r="E233" s="2029"/>
      <c r="F233" s="2029"/>
      <c r="G233" s="2029"/>
      <c r="H233" s="2029"/>
      <c r="I233" s="2030"/>
      <c r="J233" s="2048"/>
      <c r="K233" s="2048"/>
      <c r="L233" s="2089"/>
      <c r="M233" s="2034" t="s">
        <v>123</v>
      </c>
      <c r="N233" s="2086">
        <f>SUM(P233:Y236)</f>
        <v>68475</v>
      </c>
      <c r="O233" s="2058" t="s">
        <v>112</v>
      </c>
      <c r="P233" s="2087">
        <v>3873</v>
      </c>
      <c r="Q233" s="2087">
        <v>53947</v>
      </c>
      <c r="R233" s="2087">
        <v>10655</v>
      </c>
      <c r="S233" s="2087">
        <v>0</v>
      </c>
      <c r="T233" s="2087">
        <v>0</v>
      </c>
      <c r="U233" s="2087">
        <v>0</v>
      </c>
      <c r="V233" s="2087">
        <v>0</v>
      </c>
      <c r="W233" s="2087">
        <v>0</v>
      </c>
      <c r="X233" s="2087">
        <v>0</v>
      </c>
      <c r="Y233" s="2087">
        <v>0</v>
      </c>
      <c r="Z233" s="2061" t="s">
        <v>345</v>
      </c>
      <c r="AA233" s="2062">
        <f>Q225</f>
        <v>525367</v>
      </c>
    </row>
    <row r="234" spans="1:27" ht="15" customHeight="1">
      <c r="A234" s="2039"/>
      <c r="B234" s="2028"/>
      <c r="C234" s="2029"/>
      <c r="D234" s="2029"/>
      <c r="E234" s="2029"/>
      <c r="F234" s="2029"/>
      <c r="G234" s="2029"/>
      <c r="H234" s="2029"/>
      <c r="I234" s="2030"/>
      <c r="J234" s="2048"/>
      <c r="K234" s="2048"/>
      <c r="L234" s="2089"/>
      <c r="M234" s="2035"/>
      <c r="N234" s="2058"/>
      <c r="O234" s="2058"/>
      <c r="P234" s="2087"/>
      <c r="Q234" s="2087"/>
      <c r="R234" s="2087"/>
      <c r="S234" s="2087"/>
      <c r="T234" s="2087"/>
      <c r="U234" s="2087"/>
      <c r="V234" s="2087"/>
      <c r="W234" s="2087"/>
      <c r="X234" s="2087"/>
      <c r="Y234" s="2087"/>
      <c r="Z234" s="2061"/>
      <c r="AA234" s="2062"/>
    </row>
    <row r="235" spans="1:27" ht="8.25" customHeight="1">
      <c r="A235" s="2039"/>
      <c r="B235" s="2028"/>
      <c r="C235" s="2029"/>
      <c r="D235" s="2029"/>
      <c r="E235" s="2029"/>
      <c r="F235" s="2029"/>
      <c r="G235" s="2029"/>
      <c r="H235" s="2029"/>
      <c r="I235" s="2030"/>
      <c r="J235" s="2048"/>
      <c r="K235" s="2048"/>
      <c r="L235" s="2089"/>
      <c r="M235" s="2035"/>
      <c r="N235" s="2058"/>
      <c r="O235" s="2058"/>
      <c r="P235" s="2087"/>
      <c r="Q235" s="2087"/>
      <c r="R235" s="2087"/>
      <c r="S235" s="2087"/>
      <c r="T235" s="2087"/>
      <c r="U235" s="2087"/>
      <c r="V235" s="2087"/>
      <c r="W235" s="2087"/>
      <c r="X235" s="2087"/>
      <c r="Y235" s="2087"/>
      <c r="Z235" s="2063" t="s">
        <v>346</v>
      </c>
      <c r="AA235" s="2062">
        <f>R225</f>
        <v>102635</v>
      </c>
    </row>
    <row r="236" spans="1:27" ht="15" customHeight="1" thickBot="1">
      <c r="A236" s="2040"/>
      <c r="B236" s="2031"/>
      <c r="C236" s="2032"/>
      <c r="D236" s="2032"/>
      <c r="E236" s="2032"/>
      <c r="F236" s="2032"/>
      <c r="G236" s="2032"/>
      <c r="H236" s="2032"/>
      <c r="I236" s="2033"/>
      <c r="J236" s="2050"/>
      <c r="K236" s="2050"/>
      <c r="L236" s="2090"/>
      <c r="M236" s="2036"/>
      <c r="N236" s="2091"/>
      <c r="O236" s="2091"/>
      <c r="P236" s="2088"/>
      <c r="Q236" s="2088"/>
      <c r="R236" s="2088"/>
      <c r="S236" s="2088"/>
      <c r="T236" s="2088"/>
      <c r="U236" s="2088"/>
      <c r="V236" s="2088"/>
      <c r="W236" s="2088"/>
      <c r="X236" s="2088"/>
      <c r="Y236" s="2088"/>
      <c r="Z236" s="2064"/>
      <c r="AA236" s="2065"/>
    </row>
    <row r="237" spans="1:27" ht="15" customHeight="1" thickTop="1" thickBot="1">
      <c r="A237" s="1197"/>
      <c r="B237" s="1196"/>
      <c r="C237" s="1196"/>
      <c r="D237" s="1196"/>
      <c r="E237" s="1196"/>
      <c r="F237" s="1196"/>
      <c r="G237" s="1196"/>
      <c r="H237" s="1196"/>
      <c r="I237" s="1196"/>
      <c r="J237" s="1198"/>
      <c r="K237" s="1198"/>
      <c r="L237" s="814"/>
      <c r="M237" s="826"/>
      <c r="N237" s="1198"/>
      <c r="O237" s="1198"/>
      <c r="P237" s="656"/>
      <c r="Q237" s="656"/>
      <c r="R237" s="656"/>
      <c r="S237" s="656"/>
      <c r="T237" s="656"/>
      <c r="U237" s="656"/>
      <c r="V237" s="656"/>
      <c r="W237" s="656"/>
      <c r="X237" s="656"/>
      <c r="Y237" s="656"/>
      <c r="Z237" s="812"/>
      <c r="AA237" s="813"/>
    </row>
    <row r="238" spans="1:27" ht="15" customHeight="1" thickTop="1">
      <c r="A238" s="2037"/>
      <c r="B238" s="2041" t="s">
        <v>101</v>
      </c>
      <c r="C238" s="2042"/>
      <c r="D238" s="2042">
        <v>853</v>
      </c>
      <c r="E238" s="2042"/>
      <c r="F238" s="2045"/>
      <c r="G238" s="2045"/>
      <c r="H238" s="2045"/>
      <c r="I238" s="2045"/>
      <c r="J238" s="2047"/>
      <c r="K238" s="2047"/>
      <c r="L238" s="2051">
        <v>63378</v>
      </c>
      <c r="M238" s="2053" t="s">
        <v>120</v>
      </c>
      <c r="N238" s="2055">
        <f>SUM(N242:N249)</f>
        <v>63378</v>
      </c>
      <c r="O238" s="2057" t="s">
        <v>112</v>
      </c>
      <c r="P238" s="2059">
        <f>SUM(P242:P249)</f>
        <v>14788</v>
      </c>
      <c r="Q238" s="2059">
        <f>SUM(Q242:Q249)</f>
        <v>26196</v>
      </c>
      <c r="R238" s="2059">
        <f>SUM(R242:R249)</f>
        <v>22394</v>
      </c>
      <c r="S238" s="2059">
        <f t="shared" ref="S238:Y238" si="17">SUM(S242:S249)</f>
        <v>0</v>
      </c>
      <c r="T238" s="2059">
        <f t="shared" si="17"/>
        <v>0</v>
      </c>
      <c r="U238" s="2059">
        <f t="shared" si="17"/>
        <v>0</v>
      </c>
      <c r="V238" s="2059">
        <f t="shared" si="17"/>
        <v>0</v>
      </c>
      <c r="W238" s="2059">
        <f t="shared" si="17"/>
        <v>0</v>
      </c>
      <c r="X238" s="2059">
        <f t="shared" si="17"/>
        <v>0</v>
      </c>
      <c r="Y238" s="2059">
        <f t="shared" si="17"/>
        <v>0</v>
      </c>
      <c r="Z238" s="2066">
        <f>SUM(AA242:AA249)</f>
        <v>63378</v>
      </c>
      <c r="AA238" s="2067"/>
    </row>
    <row r="239" spans="1:27" ht="15" customHeight="1">
      <c r="A239" s="2038"/>
      <c r="B239" s="2043"/>
      <c r="C239" s="2044"/>
      <c r="D239" s="2044"/>
      <c r="E239" s="2044"/>
      <c r="F239" s="2046"/>
      <c r="G239" s="2046"/>
      <c r="H239" s="2046"/>
      <c r="I239" s="2046"/>
      <c r="J239" s="2048"/>
      <c r="K239" s="2048"/>
      <c r="L239" s="2052"/>
      <c r="M239" s="2054"/>
      <c r="N239" s="2056"/>
      <c r="O239" s="2058"/>
      <c r="P239" s="2060"/>
      <c r="Q239" s="2060"/>
      <c r="R239" s="2060"/>
      <c r="S239" s="2060"/>
      <c r="T239" s="2060"/>
      <c r="U239" s="2060"/>
      <c r="V239" s="2060"/>
      <c r="W239" s="2060"/>
      <c r="X239" s="2060"/>
      <c r="Y239" s="2060"/>
      <c r="Z239" s="2068"/>
      <c r="AA239" s="2069"/>
    </row>
    <row r="240" spans="1:27" ht="15" customHeight="1">
      <c r="A240" s="2038"/>
      <c r="B240" s="2072" t="s">
        <v>107</v>
      </c>
      <c r="C240" s="2058"/>
      <c r="D240" s="2058">
        <v>85395</v>
      </c>
      <c r="E240" s="2058"/>
      <c r="F240" s="2046"/>
      <c r="G240" s="2046"/>
      <c r="H240" s="2046"/>
      <c r="I240" s="2046"/>
      <c r="J240" s="2048"/>
      <c r="K240" s="2048"/>
      <c r="L240" s="2052"/>
      <c r="M240" s="2054"/>
      <c r="N240" s="2056"/>
      <c r="O240" s="2058"/>
      <c r="P240" s="2060"/>
      <c r="Q240" s="2060"/>
      <c r="R240" s="2060"/>
      <c r="S240" s="2060"/>
      <c r="T240" s="2060"/>
      <c r="U240" s="2060"/>
      <c r="V240" s="2060"/>
      <c r="W240" s="2060"/>
      <c r="X240" s="2060"/>
      <c r="Y240" s="2060"/>
      <c r="Z240" s="2068"/>
      <c r="AA240" s="2069"/>
    </row>
    <row r="241" spans="1:27" ht="15" customHeight="1">
      <c r="A241" s="2038"/>
      <c r="B241" s="2073"/>
      <c r="C241" s="2074"/>
      <c r="D241" s="2074"/>
      <c r="E241" s="2074"/>
      <c r="F241" s="2075"/>
      <c r="G241" s="2075"/>
      <c r="H241" s="2075"/>
      <c r="I241" s="2075"/>
      <c r="J241" s="2048"/>
      <c r="K241" s="2048"/>
      <c r="L241" s="2052"/>
      <c r="M241" s="2054"/>
      <c r="N241" s="2056"/>
      <c r="O241" s="2058"/>
      <c r="P241" s="2060"/>
      <c r="Q241" s="2060"/>
      <c r="R241" s="2060"/>
      <c r="S241" s="2060"/>
      <c r="T241" s="2060"/>
      <c r="U241" s="2060"/>
      <c r="V241" s="2060"/>
      <c r="W241" s="2060"/>
      <c r="X241" s="2060"/>
      <c r="Y241" s="2060"/>
      <c r="Z241" s="2070"/>
      <c r="AA241" s="2071"/>
    </row>
    <row r="242" spans="1:27" ht="15" customHeight="1">
      <c r="A242" s="2039"/>
      <c r="B242" s="2076" t="s">
        <v>496</v>
      </c>
      <c r="C242" s="2077"/>
      <c r="D242" s="2077"/>
      <c r="E242" s="2077"/>
      <c r="F242" s="2077"/>
      <c r="G242" s="2077"/>
      <c r="H242" s="2077"/>
      <c r="I242" s="2078"/>
      <c r="J242" s="2049"/>
      <c r="K242" s="2048"/>
      <c r="L242" s="2052"/>
      <c r="M242" s="2085" t="s">
        <v>143</v>
      </c>
      <c r="N242" s="2086">
        <f>SUM(P242:Y245)</f>
        <v>63378</v>
      </c>
      <c r="O242" s="2058" t="s">
        <v>112</v>
      </c>
      <c r="P242" s="2087">
        <v>14788</v>
      </c>
      <c r="Q242" s="2087">
        <v>26196</v>
      </c>
      <c r="R242" s="2087">
        <v>22394</v>
      </c>
      <c r="S242" s="2087">
        <v>0</v>
      </c>
      <c r="T242" s="2087">
        <v>0</v>
      </c>
      <c r="U242" s="2087">
        <v>0</v>
      </c>
      <c r="V242" s="2087">
        <v>0</v>
      </c>
      <c r="W242" s="2087">
        <v>0</v>
      </c>
      <c r="X242" s="2087">
        <v>0</v>
      </c>
      <c r="Y242" s="2087">
        <v>0</v>
      </c>
      <c r="Z242" s="2092"/>
      <c r="AA242" s="2093"/>
    </row>
    <row r="243" spans="1:27" ht="15" customHeight="1">
      <c r="A243" s="2039"/>
      <c r="B243" s="2079"/>
      <c r="C243" s="2080"/>
      <c r="D243" s="2080"/>
      <c r="E243" s="2080"/>
      <c r="F243" s="2080"/>
      <c r="G243" s="2080"/>
      <c r="H243" s="2080"/>
      <c r="I243" s="2081"/>
      <c r="J243" s="2049"/>
      <c r="K243" s="2048"/>
      <c r="L243" s="2052"/>
      <c r="M243" s="2085"/>
      <c r="N243" s="2058"/>
      <c r="O243" s="2058"/>
      <c r="P243" s="2087"/>
      <c r="Q243" s="2087"/>
      <c r="R243" s="2087"/>
      <c r="S243" s="2087"/>
      <c r="T243" s="2087"/>
      <c r="U243" s="2087"/>
      <c r="V243" s="2087"/>
      <c r="W243" s="2087"/>
      <c r="X243" s="2087"/>
      <c r="Y243" s="2087"/>
      <c r="Z243" s="2061"/>
      <c r="AA243" s="2062"/>
    </row>
    <row r="244" spans="1:27" ht="5.25" customHeight="1">
      <c r="A244" s="2039"/>
      <c r="B244" s="2079"/>
      <c r="C244" s="2080"/>
      <c r="D244" s="2080"/>
      <c r="E244" s="2080"/>
      <c r="F244" s="2080"/>
      <c r="G244" s="2080"/>
      <c r="H244" s="2080"/>
      <c r="I244" s="2081"/>
      <c r="J244" s="2049"/>
      <c r="K244" s="2048"/>
      <c r="L244" s="2089"/>
      <c r="M244" s="2085"/>
      <c r="N244" s="2058"/>
      <c r="O244" s="2058"/>
      <c r="P244" s="2087"/>
      <c r="Q244" s="2087"/>
      <c r="R244" s="2087"/>
      <c r="S244" s="2087"/>
      <c r="T244" s="2087"/>
      <c r="U244" s="2087"/>
      <c r="V244" s="2087"/>
      <c r="W244" s="2087"/>
      <c r="X244" s="2087"/>
      <c r="Y244" s="2087"/>
      <c r="Z244" s="2061" t="s">
        <v>154</v>
      </c>
      <c r="AA244" s="2062">
        <f>P238</f>
        <v>14788</v>
      </c>
    </row>
    <row r="245" spans="1:27" ht="15" customHeight="1">
      <c r="A245" s="2039"/>
      <c r="B245" s="2082"/>
      <c r="C245" s="2083"/>
      <c r="D245" s="2083"/>
      <c r="E245" s="2083"/>
      <c r="F245" s="2083"/>
      <c r="G245" s="2083"/>
      <c r="H245" s="2083"/>
      <c r="I245" s="2084"/>
      <c r="J245" s="2049"/>
      <c r="K245" s="2048"/>
      <c r="L245" s="2089"/>
      <c r="M245" s="2085"/>
      <c r="N245" s="2058"/>
      <c r="O245" s="2058"/>
      <c r="P245" s="2087"/>
      <c r="Q245" s="2087"/>
      <c r="R245" s="2087"/>
      <c r="S245" s="2087"/>
      <c r="T245" s="2087"/>
      <c r="U245" s="2087"/>
      <c r="V245" s="2087"/>
      <c r="W245" s="2087"/>
      <c r="X245" s="2087"/>
      <c r="Y245" s="2087"/>
      <c r="Z245" s="2061"/>
      <c r="AA245" s="2062"/>
    </row>
    <row r="246" spans="1:27" ht="15" customHeight="1">
      <c r="A246" s="2039"/>
      <c r="B246" s="2028" t="s">
        <v>497</v>
      </c>
      <c r="C246" s="2029"/>
      <c r="D246" s="2029"/>
      <c r="E246" s="2029"/>
      <c r="F246" s="2029"/>
      <c r="G246" s="2029"/>
      <c r="H246" s="2029"/>
      <c r="I246" s="2030"/>
      <c r="J246" s="2048"/>
      <c r="K246" s="2048"/>
      <c r="L246" s="2089"/>
      <c r="M246" s="2034" t="s">
        <v>123</v>
      </c>
      <c r="N246" s="2086">
        <f>SUM(P246:Y249)</f>
        <v>0</v>
      </c>
      <c r="O246" s="2058" t="s">
        <v>112</v>
      </c>
      <c r="P246" s="2087">
        <v>0</v>
      </c>
      <c r="Q246" s="2087">
        <v>0</v>
      </c>
      <c r="R246" s="2087">
        <v>0</v>
      </c>
      <c r="S246" s="2087">
        <v>0</v>
      </c>
      <c r="T246" s="2087">
        <v>0</v>
      </c>
      <c r="U246" s="2087">
        <v>0</v>
      </c>
      <c r="V246" s="2087">
        <v>0</v>
      </c>
      <c r="W246" s="2087">
        <v>0</v>
      </c>
      <c r="X246" s="2087">
        <v>0</v>
      </c>
      <c r="Y246" s="2087">
        <v>0</v>
      </c>
      <c r="Z246" s="2061" t="s">
        <v>345</v>
      </c>
      <c r="AA246" s="2062">
        <f>Q238</f>
        <v>26196</v>
      </c>
    </row>
    <row r="247" spans="1:27" ht="15" customHeight="1">
      <c r="A247" s="2039"/>
      <c r="B247" s="2028"/>
      <c r="C247" s="2029"/>
      <c r="D247" s="2029"/>
      <c r="E247" s="2029"/>
      <c r="F247" s="2029"/>
      <c r="G247" s="2029"/>
      <c r="H247" s="2029"/>
      <c r="I247" s="2030"/>
      <c r="J247" s="2048"/>
      <c r="K247" s="2048"/>
      <c r="L247" s="2089"/>
      <c r="M247" s="2035"/>
      <c r="N247" s="2058"/>
      <c r="O247" s="2058"/>
      <c r="P247" s="2087"/>
      <c r="Q247" s="2087"/>
      <c r="R247" s="2087"/>
      <c r="S247" s="2087"/>
      <c r="T247" s="2087"/>
      <c r="U247" s="2087"/>
      <c r="V247" s="2087"/>
      <c r="W247" s="2087"/>
      <c r="X247" s="2087"/>
      <c r="Y247" s="2087"/>
      <c r="Z247" s="2061"/>
      <c r="AA247" s="2062"/>
    </row>
    <row r="248" spans="1:27" ht="6.75" customHeight="1">
      <c r="A248" s="2039"/>
      <c r="B248" s="2028"/>
      <c r="C248" s="2029"/>
      <c r="D248" s="2029"/>
      <c r="E248" s="2029"/>
      <c r="F248" s="2029"/>
      <c r="G248" s="2029"/>
      <c r="H248" s="2029"/>
      <c r="I248" s="2030"/>
      <c r="J248" s="2048"/>
      <c r="K248" s="2048"/>
      <c r="L248" s="2089"/>
      <c r="M248" s="2035"/>
      <c r="N248" s="2058"/>
      <c r="O248" s="2058"/>
      <c r="P248" s="2087"/>
      <c r="Q248" s="2087"/>
      <c r="R248" s="2087"/>
      <c r="S248" s="2087"/>
      <c r="T248" s="2087"/>
      <c r="U248" s="2087"/>
      <c r="V248" s="2087"/>
      <c r="W248" s="2087"/>
      <c r="X248" s="2087"/>
      <c r="Y248" s="2087"/>
      <c r="Z248" s="2063" t="s">
        <v>346</v>
      </c>
      <c r="AA248" s="2062">
        <f>R238</f>
        <v>22394</v>
      </c>
    </row>
    <row r="249" spans="1:27" ht="15" customHeight="1" thickBot="1">
      <c r="A249" s="2040"/>
      <c r="B249" s="2031"/>
      <c r="C249" s="2032"/>
      <c r="D249" s="2032"/>
      <c r="E249" s="2032"/>
      <c r="F249" s="2032"/>
      <c r="G249" s="2032"/>
      <c r="H249" s="2032"/>
      <c r="I249" s="2033"/>
      <c r="J249" s="2050"/>
      <c r="K249" s="2050"/>
      <c r="L249" s="2090"/>
      <c r="M249" s="2036"/>
      <c r="N249" s="2091"/>
      <c r="O249" s="2091"/>
      <c r="P249" s="2088"/>
      <c r="Q249" s="2088"/>
      <c r="R249" s="2088"/>
      <c r="S249" s="2088"/>
      <c r="T249" s="2088"/>
      <c r="U249" s="2088"/>
      <c r="V249" s="2088"/>
      <c r="W249" s="2088"/>
      <c r="X249" s="2088"/>
      <c r="Y249" s="2088"/>
      <c r="Z249" s="2064"/>
      <c r="AA249" s="2065"/>
    </row>
    <row r="250" spans="1:27" ht="15" customHeight="1" thickTop="1" thickBot="1">
      <c r="A250" s="1200"/>
      <c r="B250" s="1199"/>
      <c r="C250" s="1199"/>
      <c r="D250" s="1199"/>
      <c r="E250" s="1199"/>
      <c r="F250" s="1199"/>
      <c r="G250" s="1199"/>
      <c r="H250" s="1199"/>
      <c r="I250" s="1199"/>
      <c r="J250" s="1201"/>
      <c r="K250" s="1201"/>
      <c r="L250" s="814"/>
      <c r="M250" s="826"/>
      <c r="N250" s="1201"/>
      <c r="O250" s="1201"/>
      <c r="P250" s="656"/>
      <c r="Q250" s="656"/>
      <c r="R250" s="656"/>
      <c r="S250" s="656"/>
      <c r="T250" s="656"/>
      <c r="U250" s="656"/>
      <c r="V250" s="656"/>
      <c r="W250" s="656"/>
      <c r="X250" s="656"/>
      <c r="Y250" s="656"/>
      <c r="Z250" s="812"/>
      <c r="AA250" s="813"/>
    </row>
    <row r="251" spans="1:27" ht="15" customHeight="1" thickTop="1">
      <c r="A251" s="2037"/>
      <c r="B251" s="2041" t="s">
        <v>101</v>
      </c>
      <c r="C251" s="2042"/>
      <c r="D251" s="2042">
        <v>720</v>
      </c>
      <c r="E251" s="2042"/>
      <c r="F251" s="2045"/>
      <c r="G251" s="2045"/>
      <c r="H251" s="2045"/>
      <c r="I251" s="2045"/>
      <c r="J251" s="2047"/>
      <c r="K251" s="2047"/>
      <c r="L251" s="2051">
        <v>20363.87</v>
      </c>
      <c r="M251" s="2053" t="s">
        <v>120</v>
      </c>
      <c r="N251" s="2055">
        <f>SUM(N255:N262)</f>
        <v>8663.869999999999</v>
      </c>
      <c r="O251" s="2057" t="s">
        <v>112</v>
      </c>
      <c r="P251" s="2059">
        <f>SUM(P255:P262)</f>
        <v>1063.8699999999999</v>
      </c>
      <c r="Q251" s="2059">
        <f>SUM(Q255:Q262)</f>
        <v>3800</v>
      </c>
      <c r="R251" s="2059">
        <f>SUM(R255:R262)</f>
        <v>3800</v>
      </c>
      <c r="S251" s="2059">
        <f t="shared" ref="S251:Y251" si="18">SUM(S255:S262)</f>
        <v>0</v>
      </c>
      <c r="T251" s="2059">
        <f t="shared" si="18"/>
        <v>0</v>
      </c>
      <c r="U251" s="2059">
        <f t="shared" si="18"/>
        <v>0</v>
      </c>
      <c r="V251" s="2059">
        <f t="shared" si="18"/>
        <v>0</v>
      </c>
      <c r="W251" s="2059">
        <f t="shared" si="18"/>
        <v>0</v>
      </c>
      <c r="X251" s="2059">
        <f t="shared" si="18"/>
        <v>0</v>
      </c>
      <c r="Y251" s="2059">
        <f t="shared" si="18"/>
        <v>0</v>
      </c>
      <c r="Z251" s="2066">
        <f>SUM(AA255:AA262)</f>
        <v>8663.869999999999</v>
      </c>
      <c r="AA251" s="2067"/>
    </row>
    <row r="252" spans="1:27" ht="15" customHeight="1">
      <c r="A252" s="2038"/>
      <c r="B252" s="2043"/>
      <c r="C252" s="2044"/>
      <c r="D252" s="2044"/>
      <c r="E252" s="2044"/>
      <c r="F252" s="2046"/>
      <c r="G252" s="2046"/>
      <c r="H252" s="2046"/>
      <c r="I252" s="2046"/>
      <c r="J252" s="2048"/>
      <c r="K252" s="2048"/>
      <c r="L252" s="2052"/>
      <c r="M252" s="2054"/>
      <c r="N252" s="2056"/>
      <c r="O252" s="2058"/>
      <c r="P252" s="2060"/>
      <c r="Q252" s="2060"/>
      <c r="R252" s="2060"/>
      <c r="S252" s="2060"/>
      <c r="T252" s="2060"/>
      <c r="U252" s="2060"/>
      <c r="V252" s="2060"/>
      <c r="W252" s="2060"/>
      <c r="X252" s="2060"/>
      <c r="Y252" s="2060"/>
      <c r="Z252" s="2068"/>
      <c r="AA252" s="2069"/>
    </row>
    <row r="253" spans="1:27" ht="15" customHeight="1">
      <c r="A253" s="2038"/>
      <c r="B253" s="2072" t="s">
        <v>107</v>
      </c>
      <c r="C253" s="2058"/>
      <c r="D253" s="2058">
        <v>72095</v>
      </c>
      <c r="E253" s="2058"/>
      <c r="F253" s="2046"/>
      <c r="G253" s="2046"/>
      <c r="H253" s="2046"/>
      <c r="I253" s="2046"/>
      <c r="J253" s="2048"/>
      <c r="K253" s="2048"/>
      <c r="L253" s="2052"/>
      <c r="M253" s="2054"/>
      <c r="N253" s="2056"/>
      <c r="O253" s="2058"/>
      <c r="P253" s="2060"/>
      <c r="Q253" s="2060"/>
      <c r="R253" s="2060"/>
      <c r="S253" s="2060"/>
      <c r="T253" s="2060"/>
      <c r="U253" s="2060"/>
      <c r="V253" s="2060"/>
      <c r="W253" s="2060"/>
      <c r="X253" s="2060"/>
      <c r="Y253" s="2060"/>
      <c r="Z253" s="2068"/>
      <c r="AA253" s="2069"/>
    </row>
    <row r="254" spans="1:27" ht="15" customHeight="1">
      <c r="A254" s="2038"/>
      <c r="B254" s="2073"/>
      <c r="C254" s="2074"/>
      <c r="D254" s="2074"/>
      <c r="E254" s="2074"/>
      <c r="F254" s="2075"/>
      <c r="G254" s="2075"/>
      <c r="H254" s="2075"/>
      <c r="I254" s="2075"/>
      <c r="J254" s="2048"/>
      <c r="K254" s="2048"/>
      <c r="L254" s="2052"/>
      <c r="M254" s="2054"/>
      <c r="N254" s="2056"/>
      <c r="O254" s="2058"/>
      <c r="P254" s="2060"/>
      <c r="Q254" s="2060"/>
      <c r="R254" s="2060"/>
      <c r="S254" s="2060"/>
      <c r="T254" s="2060"/>
      <c r="U254" s="2060"/>
      <c r="V254" s="2060"/>
      <c r="W254" s="2060"/>
      <c r="X254" s="2060"/>
      <c r="Y254" s="2060"/>
      <c r="Z254" s="2070"/>
      <c r="AA254" s="2071"/>
    </row>
    <row r="255" spans="1:27" ht="15" customHeight="1">
      <c r="A255" s="2039"/>
      <c r="B255" s="2076" t="s">
        <v>131</v>
      </c>
      <c r="C255" s="2077"/>
      <c r="D255" s="2077"/>
      <c r="E255" s="2077"/>
      <c r="F255" s="2077"/>
      <c r="G255" s="2077"/>
      <c r="H255" s="2077"/>
      <c r="I255" s="2078"/>
      <c r="J255" s="2049"/>
      <c r="K255" s="2048"/>
      <c r="L255" s="2052"/>
      <c r="M255" s="2085" t="s">
        <v>143</v>
      </c>
      <c r="N255" s="2086">
        <f>SUM(P255:Y258)</f>
        <v>0</v>
      </c>
      <c r="O255" s="2058" t="s">
        <v>112</v>
      </c>
      <c r="P255" s="2087">
        <v>0</v>
      </c>
      <c r="Q255" s="2087">
        <v>0</v>
      </c>
      <c r="R255" s="2087">
        <v>0</v>
      </c>
      <c r="S255" s="2087">
        <v>0</v>
      </c>
      <c r="T255" s="2087">
        <v>0</v>
      </c>
      <c r="U255" s="2087">
        <v>0</v>
      </c>
      <c r="V255" s="2087">
        <v>0</v>
      </c>
      <c r="W255" s="2087">
        <v>0</v>
      </c>
      <c r="X255" s="2087">
        <v>0</v>
      </c>
      <c r="Y255" s="2087">
        <v>0</v>
      </c>
      <c r="Z255" s="2092"/>
      <c r="AA255" s="2093"/>
    </row>
    <row r="256" spans="1:27" ht="15" customHeight="1">
      <c r="A256" s="2039"/>
      <c r="B256" s="2079"/>
      <c r="C256" s="2080"/>
      <c r="D256" s="2080"/>
      <c r="E256" s="2080"/>
      <c r="F256" s="2080"/>
      <c r="G256" s="2080"/>
      <c r="H256" s="2080"/>
      <c r="I256" s="2081"/>
      <c r="J256" s="2049"/>
      <c r="K256" s="2048"/>
      <c r="L256" s="2052"/>
      <c r="M256" s="2085"/>
      <c r="N256" s="2058"/>
      <c r="O256" s="2058"/>
      <c r="P256" s="2087"/>
      <c r="Q256" s="2087"/>
      <c r="R256" s="2087"/>
      <c r="S256" s="2087"/>
      <c r="T256" s="2087"/>
      <c r="U256" s="2087"/>
      <c r="V256" s="2087"/>
      <c r="W256" s="2087"/>
      <c r="X256" s="2087"/>
      <c r="Y256" s="2087"/>
      <c r="Z256" s="2061"/>
      <c r="AA256" s="2062"/>
    </row>
    <row r="257" spans="1:27" ht="6.75" customHeight="1">
      <c r="A257" s="2039"/>
      <c r="B257" s="2079"/>
      <c r="C257" s="2080"/>
      <c r="D257" s="2080"/>
      <c r="E257" s="2080"/>
      <c r="F257" s="2080"/>
      <c r="G257" s="2080"/>
      <c r="H257" s="2080"/>
      <c r="I257" s="2081"/>
      <c r="J257" s="2049"/>
      <c r="K257" s="2048"/>
      <c r="L257" s="2089"/>
      <c r="M257" s="2085"/>
      <c r="N257" s="2058"/>
      <c r="O257" s="2058"/>
      <c r="P257" s="2087"/>
      <c r="Q257" s="2087"/>
      <c r="R257" s="2087"/>
      <c r="S257" s="2087"/>
      <c r="T257" s="2087"/>
      <c r="U257" s="2087"/>
      <c r="V257" s="2087"/>
      <c r="W257" s="2087"/>
      <c r="X257" s="2087"/>
      <c r="Y257" s="2087"/>
      <c r="Z257" s="2061" t="s">
        <v>154</v>
      </c>
      <c r="AA257" s="2062">
        <f>P251</f>
        <v>1063.8699999999999</v>
      </c>
    </row>
    <row r="258" spans="1:27" ht="15" hidden="1" customHeight="1">
      <c r="A258" s="2039"/>
      <c r="B258" s="2082"/>
      <c r="C258" s="2083"/>
      <c r="D258" s="2083"/>
      <c r="E258" s="2083"/>
      <c r="F258" s="2083"/>
      <c r="G258" s="2083"/>
      <c r="H258" s="2083"/>
      <c r="I258" s="2084"/>
      <c r="J258" s="2049"/>
      <c r="K258" s="2048"/>
      <c r="L258" s="2089"/>
      <c r="M258" s="2085"/>
      <c r="N258" s="2058"/>
      <c r="O258" s="2058"/>
      <c r="P258" s="2087"/>
      <c r="Q258" s="2087"/>
      <c r="R258" s="2087"/>
      <c r="S258" s="2087"/>
      <c r="T258" s="2087"/>
      <c r="U258" s="2087"/>
      <c r="V258" s="2087"/>
      <c r="W258" s="2087"/>
      <c r="X258" s="2087"/>
      <c r="Y258" s="2087"/>
      <c r="Z258" s="2061"/>
      <c r="AA258" s="2062"/>
    </row>
    <row r="259" spans="1:27" ht="15" customHeight="1">
      <c r="A259" s="2039"/>
      <c r="B259" s="2028" t="s">
        <v>493</v>
      </c>
      <c r="C259" s="2029"/>
      <c r="D259" s="2029"/>
      <c r="E259" s="2029"/>
      <c r="F259" s="2029"/>
      <c r="G259" s="2029"/>
      <c r="H259" s="2029"/>
      <c r="I259" s="2030"/>
      <c r="J259" s="2048"/>
      <c r="K259" s="2048"/>
      <c r="L259" s="2089"/>
      <c r="M259" s="2034" t="s">
        <v>123</v>
      </c>
      <c r="N259" s="2086">
        <f>SUM(P259:Y262)</f>
        <v>8663.869999999999</v>
      </c>
      <c r="O259" s="2058" t="s">
        <v>112</v>
      </c>
      <c r="P259" s="2087">
        <v>1063.8699999999999</v>
      </c>
      <c r="Q259" s="2087">
        <v>3800</v>
      </c>
      <c r="R259" s="2087">
        <v>3800</v>
      </c>
      <c r="S259" s="2087">
        <v>0</v>
      </c>
      <c r="T259" s="2087">
        <v>0</v>
      </c>
      <c r="U259" s="2087">
        <v>0</v>
      </c>
      <c r="V259" s="2087">
        <v>0</v>
      </c>
      <c r="W259" s="2087">
        <v>0</v>
      </c>
      <c r="X259" s="2087">
        <v>0</v>
      </c>
      <c r="Y259" s="2087">
        <v>0</v>
      </c>
      <c r="Z259" s="2061" t="s">
        <v>345</v>
      </c>
      <c r="AA259" s="2062">
        <f>Q251</f>
        <v>3800</v>
      </c>
    </row>
    <row r="260" spans="1:27" ht="7.5" customHeight="1">
      <c r="A260" s="2039"/>
      <c r="B260" s="2028"/>
      <c r="C260" s="2029"/>
      <c r="D260" s="2029"/>
      <c r="E260" s="2029"/>
      <c r="F260" s="2029"/>
      <c r="G260" s="2029"/>
      <c r="H260" s="2029"/>
      <c r="I260" s="2030"/>
      <c r="J260" s="2048"/>
      <c r="K260" s="2048"/>
      <c r="L260" s="2089"/>
      <c r="M260" s="2035"/>
      <c r="N260" s="2058"/>
      <c r="O260" s="2058"/>
      <c r="P260" s="2087"/>
      <c r="Q260" s="2087"/>
      <c r="R260" s="2087"/>
      <c r="S260" s="2087"/>
      <c r="T260" s="2087"/>
      <c r="U260" s="2087"/>
      <c r="V260" s="2087"/>
      <c r="W260" s="2087"/>
      <c r="X260" s="2087"/>
      <c r="Y260" s="2087"/>
      <c r="Z260" s="2061"/>
      <c r="AA260" s="2062"/>
    </row>
    <row r="261" spans="1:27" ht="15" customHeight="1">
      <c r="A261" s="2039"/>
      <c r="B261" s="2028"/>
      <c r="C261" s="2029"/>
      <c r="D261" s="2029"/>
      <c r="E261" s="2029"/>
      <c r="F261" s="2029"/>
      <c r="G261" s="2029"/>
      <c r="H261" s="2029"/>
      <c r="I261" s="2030"/>
      <c r="J261" s="2048"/>
      <c r="K261" s="2048"/>
      <c r="L261" s="2089"/>
      <c r="M261" s="2035"/>
      <c r="N261" s="2058"/>
      <c r="O261" s="2058"/>
      <c r="P261" s="2087"/>
      <c r="Q261" s="2087"/>
      <c r="R261" s="2087"/>
      <c r="S261" s="2087"/>
      <c r="T261" s="2087"/>
      <c r="U261" s="2087"/>
      <c r="V261" s="2087"/>
      <c r="W261" s="2087"/>
      <c r="X261" s="2087"/>
      <c r="Y261" s="2087"/>
      <c r="Z261" s="2063" t="s">
        <v>346</v>
      </c>
      <c r="AA261" s="2062">
        <f>R251</f>
        <v>3800</v>
      </c>
    </row>
    <row r="262" spans="1:27" ht="8.25" customHeight="1" thickBot="1">
      <c r="A262" s="2040"/>
      <c r="B262" s="2031"/>
      <c r="C262" s="2032"/>
      <c r="D262" s="2032"/>
      <c r="E262" s="2032"/>
      <c r="F262" s="2032"/>
      <c r="G262" s="2032"/>
      <c r="H262" s="2032"/>
      <c r="I262" s="2033"/>
      <c r="J262" s="2050"/>
      <c r="K262" s="2050"/>
      <c r="L262" s="2090"/>
      <c r="M262" s="2036"/>
      <c r="N262" s="2091"/>
      <c r="O262" s="2091"/>
      <c r="P262" s="2088"/>
      <c r="Q262" s="2088"/>
      <c r="R262" s="2088"/>
      <c r="S262" s="2088"/>
      <c r="T262" s="2088"/>
      <c r="U262" s="2088"/>
      <c r="V262" s="2088"/>
      <c r="W262" s="2088"/>
      <c r="X262" s="2088"/>
      <c r="Y262" s="2088"/>
      <c r="Z262" s="2064"/>
      <c r="AA262" s="2065"/>
    </row>
    <row r="263" spans="1:27" ht="15" customHeight="1" thickTop="1" thickBot="1">
      <c r="A263" s="1197"/>
      <c r="B263" s="1196"/>
      <c r="C263" s="1196"/>
      <c r="D263" s="1196"/>
      <c r="E263" s="1196"/>
      <c r="F263" s="1196"/>
      <c r="G263" s="1196"/>
      <c r="H263" s="1196"/>
      <c r="I263" s="1196"/>
      <c r="J263" s="1198"/>
      <c r="K263" s="1198"/>
      <c r="L263" s="814"/>
      <c r="M263" s="826"/>
      <c r="N263" s="1198"/>
      <c r="O263" s="1198"/>
      <c r="P263" s="656"/>
      <c r="Q263" s="656"/>
      <c r="R263" s="656"/>
      <c r="S263" s="656"/>
      <c r="T263" s="656"/>
      <c r="U263" s="656"/>
      <c r="V263" s="656"/>
      <c r="W263" s="656"/>
      <c r="X263" s="656"/>
      <c r="Y263" s="656"/>
      <c r="Z263" s="812"/>
      <c r="AA263" s="813"/>
    </row>
    <row r="264" spans="1:27" ht="13.5" thickTop="1">
      <c r="A264" s="2037"/>
      <c r="B264" s="2041" t="s">
        <v>101</v>
      </c>
      <c r="C264" s="2042"/>
      <c r="D264" s="2042">
        <v>853</v>
      </c>
      <c r="E264" s="2042"/>
      <c r="F264" s="2045"/>
      <c r="G264" s="2045"/>
      <c r="H264" s="2045"/>
      <c r="I264" s="2045"/>
      <c r="J264" s="2047"/>
      <c r="K264" s="2047"/>
      <c r="L264" s="2051">
        <f>SUM(N264,L270)</f>
        <v>532180</v>
      </c>
      <c r="M264" s="2053" t="s">
        <v>120</v>
      </c>
      <c r="N264" s="2055">
        <f>SUM(N268:N275)</f>
        <v>532180</v>
      </c>
      <c r="O264" s="2057" t="s">
        <v>112</v>
      </c>
      <c r="P264" s="2059">
        <f>SUM(P268:P275)</f>
        <v>64400</v>
      </c>
      <c r="Q264" s="2059">
        <f>SUM(Q268:Q275)</f>
        <v>446824</v>
      </c>
      <c r="R264" s="2059">
        <f>SUM(R268:R275)</f>
        <v>20956</v>
      </c>
      <c r="S264" s="2059">
        <f t="shared" ref="S264:Y264" si="19">SUM(S268:S275)</f>
        <v>0</v>
      </c>
      <c r="T264" s="2059">
        <f t="shared" si="19"/>
        <v>0</v>
      </c>
      <c r="U264" s="2059">
        <f t="shared" si="19"/>
        <v>0</v>
      </c>
      <c r="V264" s="2059">
        <f t="shared" si="19"/>
        <v>0</v>
      </c>
      <c r="W264" s="2059">
        <f t="shared" si="19"/>
        <v>0</v>
      </c>
      <c r="X264" s="2059">
        <f t="shared" si="19"/>
        <v>0</v>
      </c>
      <c r="Y264" s="2059">
        <f t="shared" si="19"/>
        <v>0</v>
      </c>
      <c r="Z264" s="2066">
        <f>SUM(AA268:AA275)</f>
        <v>532180</v>
      </c>
      <c r="AA264" s="2067"/>
    </row>
    <row r="265" spans="1:27" ht="17.25" customHeight="1">
      <c r="A265" s="2038"/>
      <c r="B265" s="2043"/>
      <c r="C265" s="2044"/>
      <c r="D265" s="2044"/>
      <c r="E265" s="2044"/>
      <c r="F265" s="2046"/>
      <c r="G265" s="2046"/>
      <c r="H265" s="2046"/>
      <c r="I265" s="2046"/>
      <c r="J265" s="2048"/>
      <c r="K265" s="2048"/>
      <c r="L265" s="2052"/>
      <c r="M265" s="2054"/>
      <c r="N265" s="2056"/>
      <c r="O265" s="2058"/>
      <c r="P265" s="2060"/>
      <c r="Q265" s="2060"/>
      <c r="R265" s="2060"/>
      <c r="S265" s="2060"/>
      <c r="T265" s="2060"/>
      <c r="U265" s="2060"/>
      <c r="V265" s="2060"/>
      <c r="W265" s="2060"/>
      <c r="X265" s="2060"/>
      <c r="Y265" s="2060"/>
      <c r="Z265" s="2068"/>
      <c r="AA265" s="2069"/>
    </row>
    <row r="266" spans="1:27">
      <c r="A266" s="2038"/>
      <c r="B266" s="2072" t="s">
        <v>107</v>
      </c>
      <c r="C266" s="2058"/>
      <c r="D266" s="2058">
        <v>85395</v>
      </c>
      <c r="E266" s="2058"/>
      <c r="F266" s="2046"/>
      <c r="G266" s="2046"/>
      <c r="H266" s="2046"/>
      <c r="I266" s="2046"/>
      <c r="J266" s="2048"/>
      <c r="K266" s="2048"/>
      <c r="L266" s="2052"/>
      <c r="M266" s="2054"/>
      <c r="N266" s="2056"/>
      <c r="O266" s="2058"/>
      <c r="P266" s="2060"/>
      <c r="Q266" s="2060"/>
      <c r="R266" s="2060"/>
      <c r="S266" s="2060"/>
      <c r="T266" s="2060"/>
      <c r="U266" s="2060"/>
      <c r="V266" s="2060"/>
      <c r="W266" s="2060"/>
      <c r="X266" s="2060"/>
      <c r="Y266" s="2060"/>
      <c r="Z266" s="2068"/>
      <c r="AA266" s="2069"/>
    </row>
    <row r="267" spans="1:27">
      <c r="A267" s="2038"/>
      <c r="B267" s="2073"/>
      <c r="C267" s="2074"/>
      <c r="D267" s="2074"/>
      <c r="E267" s="2074"/>
      <c r="F267" s="2075"/>
      <c r="G267" s="2075"/>
      <c r="H267" s="2075"/>
      <c r="I267" s="2075"/>
      <c r="J267" s="2048"/>
      <c r="K267" s="2048"/>
      <c r="L267" s="2052"/>
      <c r="M267" s="2054"/>
      <c r="N267" s="2056"/>
      <c r="O267" s="2058"/>
      <c r="P267" s="2060"/>
      <c r="Q267" s="2060"/>
      <c r="R267" s="2060"/>
      <c r="S267" s="2060"/>
      <c r="T267" s="2060"/>
      <c r="U267" s="2060"/>
      <c r="V267" s="2060"/>
      <c r="W267" s="2060"/>
      <c r="X267" s="2060"/>
      <c r="Y267" s="2060"/>
      <c r="Z267" s="2070"/>
      <c r="AA267" s="2071"/>
    </row>
    <row r="268" spans="1:27">
      <c r="A268" s="2039"/>
      <c r="B268" s="2076" t="s">
        <v>457</v>
      </c>
      <c r="C268" s="2077"/>
      <c r="D268" s="2077"/>
      <c r="E268" s="2077"/>
      <c r="F268" s="2077"/>
      <c r="G268" s="2077"/>
      <c r="H268" s="2077"/>
      <c r="I268" s="2078"/>
      <c r="J268" s="2049"/>
      <c r="K268" s="2048"/>
      <c r="L268" s="2052"/>
      <c r="M268" s="2085" t="s">
        <v>143</v>
      </c>
      <c r="N268" s="2086">
        <f>SUM(P268:Y271)</f>
        <v>532180</v>
      </c>
      <c r="O268" s="2058" t="s">
        <v>112</v>
      </c>
      <c r="P268" s="2087">
        <v>64400</v>
      </c>
      <c r="Q268" s="2087">
        <v>446824</v>
      </c>
      <c r="R268" s="2087">
        <v>20956</v>
      </c>
      <c r="S268" s="2087">
        <v>0</v>
      </c>
      <c r="T268" s="2087">
        <v>0</v>
      </c>
      <c r="U268" s="2087">
        <v>0</v>
      </c>
      <c r="V268" s="2087">
        <v>0</v>
      </c>
      <c r="W268" s="2087">
        <v>0</v>
      </c>
      <c r="X268" s="2087">
        <v>0</v>
      </c>
      <c r="Y268" s="2087">
        <v>0</v>
      </c>
      <c r="Z268" s="2092"/>
      <c r="AA268" s="2093"/>
    </row>
    <row r="269" spans="1:27">
      <c r="A269" s="2039"/>
      <c r="B269" s="2079"/>
      <c r="C269" s="2080"/>
      <c r="D269" s="2080"/>
      <c r="E269" s="2080"/>
      <c r="F269" s="2080"/>
      <c r="G269" s="2080"/>
      <c r="H269" s="2080"/>
      <c r="I269" s="2081"/>
      <c r="J269" s="2049"/>
      <c r="K269" s="2048"/>
      <c r="L269" s="2052"/>
      <c r="M269" s="2085"/>
      <c r="N269" s="2058"/>
      <c r="O269" s="2058"/>
      <c r="P269" s="2087"/>
      <c r="Q269" s="2087"/>
      <c r="R269" s="2087"/>
      <c r="S269" s="2087"/>
      <c r="T269" s="2087"/>
      <c r="U269" s="2087"/>
      <c r="V269" s="2087"/>
      <c r="W269" s="2087"/>
      <c r="X269" s="2087"/>
      <c r="Y269" s="2087"/>
      <c r="Z269" s="2061"/>
      <c r="AA269" s="2062"/>
    </row>
    <row r="270" spans="1:27" ht="10.5" customHeight="1">
      <c r="A270" s="2039"/>
      <c r="B270" s="2079"/>
      <c r="C270" s="2080"/>
      <c r="D270" s="2080"/>
      <c r="E270" s="2080"/>
      <c r="F270" s="2080"/>
      <c r="G270" s="2080"/>
      <c r="H270" s="2080"/>
      <c r="I270" s="2081"/>
      <c r="J270" s="2049"/>
      <c r="K270" s="2048"/>
      <c r="L270" s="2089"/>
      <c r="M270" s="2085"/>
      <c r="N270" s="2058"/>
      <c r="O270" s="2058"/>
      <c r="P270" s="2087"/>
      <c r="Q270" s="2087"/>
      <c r="R270" s="2087"/>
      <c r="S270" s="2087"/>
      <c r="T270" s="2087"/>
      <c r="U270" s="2087"/>
      <c r="V270" s="2087"/>
      <c r="W270" s="2087"/>
      <c r="X270" s="2087"/>
      <c r="Y270" s="2087"/>
      <c r="Z270" s="2061" t="s">
        <v>154</v>
      </c>
      <c r="AA270" s="2062">
        <f>P264</f>
        <v>64400</v>
      </c>
    </row>
    <row r="271" spans="1:27">
      <c r="A271" s="2039"/>
      <c r="B271" s="2082"/>
      <c r="C271" s="2083"/>
      <c r="D271" s="2083"/>
      <c r="E271" s="2083"/>
      <c r="F271" s="2083"/>
      <c r="G271" s="2083"/>
      <c r="H271" s="2083"/>
      <c r="I271" s="2084"/>
      <c r="J271" s="2049"/>
      <c r="K271" s="2048"/>
      <c r="L271" s="2089"/>
      <c r="M271" s="2085"/>
      <c r="N271" s="2058"/>
      <c r="O271" s="2058"/>
      <c r="P271" s="2087"/>
      <c r="Q271" s="2087"/>
      <c r="R271" s="2087"/>
      <c r="S271" s="2087"/>
      <c r="T271" s="2087"/>
      <c r="U271" s="2087"/>
      <c r="V271" s="2087"/>
      <c r="W271" s="2087"/>
      <c r="X271" s="2087"/>
      <c r="Y271" s="2087"/>
      <c r="Z271" s="2061"/>
      <c r="AA271" s="2062"/>
    </row>
    <row r="272" spans="1:27">
      <c r="A272" s="2039"/>
      <c r="B272" s="2028" t="s">
        <v>356</v>
      </c>
      <c r="C272" s="2029"/>
      <c r="D272" s="2029"/>
      <c r="E272" s="2029"/>
      <c r="F272" s="2029"/>
      <c r="G272" s="2029"/>
      <c r="H272" s="2029"/>
      <c r="I272" s="2030"/>
      <c r="J272" s="2048"/>
      <c r="K272" s="2048"/>
      <c r="L272" s="2089"/>
      <c r="M272" s="2034" t="s">
        <v>123</v>
      </c>
      <c r="N272" s="2086">
        <f>SUM(P272:Y275)</f>
        <v>0</v>
      </c>
      <c r="O272" s="2058" t="s">
        <v>112</v>
      </c>
      <c r="P272" s="2087"/>
      <c r="Q272" s="2087"/>
      <c r="R272" s="2087">
        <v>0</v>
      </c>
      <c r="S272" s="2087">
        <v>0</v>
      </c>
      <c r="T272" s="2087">
        <v>0</v>
      </c>
      <c r="U272" s="2087">
        <v>0</v>
      </c>
      <c r="V272" s="2087">
        <v>0</v>
      </c>
      <c r="W272" s="2087">
        <v>0</v>
      </c>
      <c r="X272" s="2087">
        <v>0</v>
      </c>
      <c r="Y272" s="2087">
        <v>0</v>
      </c>
      <c r="Z272" s="2061" t="s">
        <v>345</v>
      </c>
      <c r="AA272" s="2062">
        <f>Q264</f>
        <v>446824</v>
      </c>
    </row>
    <row r="273" spans="1:27">
      <c r="A273" s="2039"/>
      <c r="B273" s="2028"/>
      <c r="C273" s="2029"/>
      <c r="D273" s="2029"/>
      <c r="E273" s="2029"/>
      <c r="F273" s="2029"/>
      <c r="G273" s="2029"/>
      <c r="H273" s="2029"/>
      <c r="I273" s="2030"/>
      <c r="J273" s="2048"/>
      <c r="K273" s="2048"/>
      <c r="L273" s="2089"/>
      <c r="M273" s="2035"/>
      <c r="N273" s="2058"/>
      <c r="O273" s="2058"/>
      <c r="P273" s="2087"/>
      <c r="Q273" s="2087"/>
      <c r="R273" s="2087"/>
      <c r="S273" s="2087"/>
      <c r="T273" s="2087"/>
      <c r="U273" s="2087"/>
      <c r="V273" s="2087"/>
      <c r="W273" s="2087"/>
      <c r="X273" s="2087"/>
      <c r="Y273" s="2087"/>
      <c r="Z273" s="2061"/>
      <c r="AA273" s="2062"/>
    </row>
    <row r="274" spans="1:27">
      <c r="A274" s="2039"/>
      <c r="B274" s="2028"/>
      <c r="C274" s="2029"/>
      <c r="D274" s="2029"/>
      <c r="E274" s="2029"/>
      <c r="F274" s="2029"/>
      <c r="G274" s="2029"/>
      <c r="H274" s="2029"/>
      <c r="I274" s="2030"/>
      <c r="J274" s="2048"/>
      <c r="K274" s="2048"/>
      <c r="L274" s="2089"/>
      <c r="M274" s="2035"/>
      <c r="N274" s="2058"/>
      <c r="O274" s="2058"/>
      <c r="P274" s="2087"/>
      <c r="Q274" s="2087"/>
      <c r="R274" s="2087"/>
      <c r="S274" s="2087"/>
      <c r="T274" s="2087"/>
      <c r="U274" s="2087"/>
      <c r="V274" s="2087"/>
      <c r="W274" s="2087"/>
      <c r="X274" s="2087"/>
      <c r="Y274" s="2087"/>
      <c r="Z274" s="2063" t="s">
        <v>346</v>
      </c>
      <c r="AA274" s="2062">
        <f>R264</f>
        <v>20956</v>
      </c>
    </row>
    <row r="275" spans="1:27" ht="2.25" customHeight="1" thickBot="1">
      <c r="A275" s="2040"/>
      <c r="B275" s="2031"/>
      <c r="C275" s="2032"/>
      <c r="D275" s="2032"/>
      <c r="E275" s="2032"/>
      <c r="F275" s="2032"/>
      <c r="G275" s="2032"/>
      <c r="H275" s="2032"/>
      <c r="I275" s="2033"/>
      <c r="J275" s="2050"/>
      <c r="K275" s="2050"/>
      <c r="L275" s="2090"/>
      <c r="M275" s="2036"/>
      <c r="N275" s="2091"/>
      <c r="O275" s="2091"/>
      <c r="P275" s="2088"/>
      <c r="Q275" s="2088"/>
      <c r="R275" s="2088"/>
      <c r="S275" s="2088"/>
      <c r="T275" s="2088"/>
      <c r="U275" s="2088"/>
      <c r="V275" s="2088"/>
      <c r="W275" s="2088"/>
      <c r="X275" s="2088"/>
      <c r="Y275" s="2088"/>
      <c r="Z275" s="2064"/>
      <c r="AA275" s="2065"/>
    </row>
    <row r="276" spans="1:27" ht="10.5" customHeight="1" thickTop="1" thickBot="1">
      <c r="A276" s="830"/>
      <c r="B276" s="831"/>
      <c r="C276" s="831"/>
      <c r="D276" s="831"/>
      <c r="E276" s="831"/>
      <c r="F276" s="831"/>
      <c r="G276" s="831"/>
      <c r="H276" s="831"/>
      <c r="I276" s="831"/>
      <c r="J276" s="832"/>
      <c r="K276" s="832"/>
      <c r="L276" s="814"/>
      <c r="M276" s="826"/>
      <c r="N276" s="832"/>
      <c r="O276" s="832"/>
      <c r="P276" s="656"/>
      <c r="Q276" s="656"/>
      <c r="R276" s="656"/>
      <c r="S276" s="656"/>
      <c r="T276" s="656"/>
      <c r="U276" s="656"/>
      <c r="V276" s="656"/>
      <c r="W276" s="656"/>
      <c r="X276" s="656"/>
      <c r="Y276" s="656"/>
      <c r="Z276" s="812"/>
      <c r="AA276" s="813"/>
    </row>
    <row r="277" spans="1:27" ht="13.5" customHeight="1" thickTop="1">
      <c r="A277" s="2037"/>
      <c r="B277" s="2041" t="s">
        <v>101</v>
      </c>
      <c r="C277" s="2042"/>
      <c r="D277" s="2042">
        <v>700</v>
      </c>
      <c r="E277" s="2042"/>
      <c r="F277" s="2045"/>
      <c r="G277" s="2045"/>
      <c r="H277" s="2045"/>
      <c r="I277" s="2045"/>
      <c r="J277" s="2047"/>
      <c r="K277" s="2047"/>
      <c r="L277" s="2051">
        <f>SUM(N277,L283)</f>
        <v>616000</v>
      </c>
      <c r="M277" s="2053" t="s">
        <v>120</v>
      </c>
      <c r="N277" s="2055">
        <f>SUM(N281:N288)</f>
        <v>616000</v>
      </c>
      <c r="O277" s="2057" t="s">
        <v>112</v>
      </c>
      <c r="P277" s="2059">
        <f>SUM(P281:P288)</f>
        <v>0</v>
      </c>
      <c r="Q277" s="2059">
        <f>SUM(Q281:Q288)</f>
        <v>266000</v>
      </c>
      <c r="R277" s="2059">
        <f>SUM(R281:R288)</f>
        <v>350000</v>
      </c>
      <c r="S277" s="2059">
        <f t="shared" ref="S277:Y277" si="20">SUM(S281:S288)</f>
        <v>0</v>
      </c>
      <c r="T277" s="2059">
        <f t="shared" si="20"/>
        <v>0</v>
      </c>
      <c r="U277" s="2059">
        <f t="shared" si="20"/>
        <v>0</v>
      </c>
      <c r="V277" s="2059">
        <f t="shared" si="20"/>
        <v>0</v>
      </c>
      <c r="W277" s="2059">
        <f t="shared" si="20"/>
        <v>0</v>
      </c>
      <c r="X277" s="2059">
        <f t="shared" si="20"/>
        <v>0</v>
      </c>
      <c r="Y277" s="2059">
        <f t="shared" si="20"/>
        <v>0</v>
      </c>
      <c r="Z277" s="2066">
        <f>SUM(AA281:AA288)</f>
        <v>266000</v>
      </c>
      <c r="AA277" s="2067"/>
    </row>
    <row r="278" spans="1:27" ht="35.25" customHeight="1">
      <c r="A278" s="2038"/>
      <c r="B278" s="2043"/>
      <c r="C278" s="2044"/>
      <c r="D278" s="2044"/>
      <c r="E278" s="2044"/>
      <c r="F278" s="2046"/>
      <c r="G278" s="2046"/>
      <c r="H278" s="2046"/>
      <c r="I278" s="2046"/>
      <c r="J278" s="2048"/>
      <c r="K278" s="2048"/>
      <c r="L278" s="2052"/>
      <c r="M278" s="2054"/>
      <c r="N278" s="2056"/>
      <c r="O278" s="2058"/>
      <c r="P278" s="2060"/>
      <c r="Q278" s="2060"/>
      <c r="R278" s="2060"/>
      <c r="S278" s="2060"/>
      <c r="T278" s="2060"/>
      <c r="U278" s="2060"/>
      <c r="V278" s="2060"/>
      <c r="W278" s="2060"/>
      <c r="X278" s="2060"/>
      <c r="Y278" s="2060"/>
      <c r="Z278" s="2068"/>
      <c r="AA278" s="2069"/>
    </row>
    <row r="279" spans="1:27" ht="12.75" customHeight="1">
      <c r="A279" s="2038"/>
      <c r="B279" s="2072" t="s">
        <v>107</v>
      </c>
      <c r="C279" s="2058"/>
      <c r="D279" s="2058">
        <v>70005</v>
      </c>
      <c r="E279" s="2058"/>
      <c r="F279" s="2046"/>
      <c r="G279" s="2046"/>
      <c r="H279" s="2046"/>
      <c r="I279" s="2046"/>
      <c r="J279" s="2048"/>
      <c r="K279" s="2048"/>
      <c r="L279" s="2052"/>
      <c r="M279" s="2054"/>
      <c r="N279" s="2056"/>
      <c r="O279" s="2058"/>
      <c r="P279" s="2060"/>
      <c r="Q279" s="2060"/>
      <c r="R279" s="2060"/>
      <c r="S279" s="2060"/>
      <c r="T279" s="2060"/>
      <c r="U279" s="2060"/>
      <c r="V279" s="2060"/>
      <c r="W279" s="2060"/>
      <c r="X279" s="2060"/>
      <c r="Y279" s="2060"/>
      <c r="Z279" s="2068"/>
      <c r="AA279" s="2069"/>
    </row>
    <row r="280" spans="1:27">
      <c r="A280" s="2038"/>
      <c r="B280" s="2073"/>
      <c r="C280" s="2074"/>
      <c r="D280" s="2074"/>
      <c r="E280" s="2074"/>
      <c r="F280" s="2075"/>
      <c r="G280" s="2075"/>
      <c r="H280" s="2075"/>
      <c r="I280" s="2075"/>
      <c r="J280" s="2048"/>
      <c r="K280" s="2048"/>
      <c r="L280" s="2052"/>
      <c r="M280" s="2054"/>
      <c r="N280" s="2056"/>
      <c r="O280" s="2058"/>
      <c r="P280" s="2060"/>
      <c r="Q280" s="2060"/>
      <c r="R280" s="2060"/>
      <c r="S280" s="2060"/>
      <c r="T280" s="2060"/>
      <c r="U280" s="2060"/>
      <c r="V280" s="2060"/>
      <c r="W280" s="2060"/>
      <c r="X280" s="2060"/>
      <c r="Y280" s="2060"/>
      <c r="Z280" s="2070"/>
      <c r="AA280" s="2071"/>
    </row>
    <row r="281" spans="1:27" ht="12.75" customHeight="1">
      <c r="A281" s="2039"/>
      <c r="B281" s="2076" t="s">
        <v>498</v>
      </c>
      <c r="C281" s="2077"/>
      <c r="D281" s="2077"/>
      <c r="E281" s="2077"/>
      <c r="F281" s="2077"/>
      <c r="G281" s="2077"/>
      <c r="H281" s="2077"/>
      <c r="I281" s="2078"/>
      <c r="J281" s="2049"/>
      <c r="K281" s="2048"/>
      <c r="L281" s="2052"/>
      <c r="M281" s="2085" t="s">
        <v>143</v>
      </c>
      <c r="N281" s="2086">
        <f>SUM(P281:Y284)</f>
        <v>0</v>
      </c>
      <c r="O281" s="2058" t="s">
        <v>112</v>
      </c>
      <c r="P281" s="2087"/>
      <c r="Q281" s="2087"/>
      <c r="R281" s="2087">
        <v>0</v>
      </c>
      <c r="S281" s="2087">
        <v>0</v>
      </c>
      <c r="T281" s="2087">
        <v>0</v>
      </c>
      <c r="U281" s="2087">
        <v>0</v>
      </c>
      <c r="V281" s="2087">
        <v>0</v>
      </c>
      <c r="W281" s="2087">
        <v>0</v>
      </c>
      <c r="X281" s="2087">
        <v>0</v>
      </c>
      <c r="Y281" s="2087">
        <v>0</v>
      </c>
      <c r="Z281" s="2092"/>
      <c r="AA281" s="2093"/>
    </row>
    <row r="282" spans="1:27" ht="10.5" customHeight="1">
      <c r="A282" s="2039"/>
      <c r="B282" s="2079"/>
      <c r="C282" s="2080"/>
      <c r="D282" s="2080"/>
      <c r="E282" s="2080"/>
      <c r="F282" s="2080"/>
      <c r="G282" s="2080"/>
      <c r="H282" s="2080"/>
      <c r="I282" s="2081"/>
      <c r="J282" s="2049"/>
      <c r="K282" s="2048"/>
      <c r="L282" s="2052"/>
      <c r="M282" s="2085"/>
      <c r="N282" s="2058"/>
      <c r="O282" s="2058"/>
      <c r="P282" s="2087"/>
      <c r="Q282" s="2087"/>
      <c r="R282" s="2087"/>
      <c r="S282" s="2087"/>
      <c r="T282" s="2087"/>
      <c r="U282" s="2087"/>
      <c r="V282" s="2087"/>
      <c r="W282" s="2087"/>
      <c r="X282" s="2087"/>
      <c r="Y282" s="2087"/>
      <c r="Z282" s="2061"/>
      <c r="AA282" s="2062"/>
    </row>
    <row r="283" spans="1:27">
      <c r="A283" s="2039"/>
      <c r="B283" s="2079"/>
      <c r="C283" s="2080"/>
      <c r="D283" s="2080"/>
      <c r="E283" s="2080"/>
      <c r="F283" s="2080"/>
      <c r="G283" s="2080"/>
      <c r="H283" s="2080"/>
      <c r="I283" s="2081"/>
      <c r="J283" s="2049"/>
      <c r="K283" s="2048"/>
      <c r="L283" s="2089"/>
      <c r="M283" s="2085"/>
      <c r="N283" s="2058"/>
      <c r="O283" s="2058"/>
      <c r="P283" s="2087"/>
      <c r="Q283" s="2087"/>
      <c r="R283" s="2087"/>
      <c r="S283" s="2087"/>
      <c r="T283" s="2087"/>
      <c r="U283" s="2087"/>
      <c r="V283" s="2087"/>
      <c r="W283" s="2087"/>
      <c r="X283" s="2087"/>
      <c r="Y283" s="2087"/>
      <c r="Z283" s="2061" t="s">
        <v>154</v>
      </c>
      <c r="AA283" s="2062">
        <f>P277</f>
        <v>0</v>
      </c>
    </row>
    <row r="284" spans="1:27">
      <c r="A284" s="2039"/>
      <c r="B284" s="2082"/>
      <c r="C284" s="2083"/>
      <c r="D284" s="2083"/>
      <c r="E284" s="2083"/>
      <c r="F284" s="2083"/>
      <c r="G284" s="2083"/>
      <c r="H284" s="2083"/>
      <c r="I284" s="2084"/>
      <c r="J284" s="2049"/>
      <c r="K284" s="2048"/>
      <c r="L284" s="2089"/>
      <c r="M284" s="2085"/>
      <c r="N284" s="2058"/>
      <c r="O284" s="2058"/>
      <c r="P284" s="2087"/>
      <c r="Q284" s="2087"/>
      <c r="R284" s="2087"/>
      <c r="S284" s="2087"/>
      <c r="T284" s="2087"/>
      <c r="U284" s="2087"/>
      <c r="V284" s="2087"/>
      <c r="W284" s="2087"/>
      <c r="X284" s="2087"/>
      <c r="Y284" s="2087"/>
      <c r="Z284" s="2061"/>
      <c r="AA284" s="2062"/>
    </row>
    <row r="285" spans="1:27" ht="12.75" customHeight="1">
      <c r="A285" s="2039"/>
      <c r="B285" s="2028" t="s">
        <v>499</v>
      </c>
      <c r="C285" s="2029"/>
      <c r="D285" s="2029"/>
      <c r="E285" s="2029"/>
      <c r="F285" s="2029"/>
      <c r="G285" s="2029"/>
      <c r="H285" s="2029"/>
      <c r="I285" s="2030"/>
      <c r="J285" s="2048"/>
      <c r="K285" s="2048"/>
      <c r="L285" s="2089"/>
      <c r="M285" s="2034" t="s">
        <v>123</v>
      </c>
      <c r="N285" s="2086">
        <f>SUM(P285:Y288)</f>
        <v>616000</v>
      </c>
      <c r="O285" s="2058" t="s">
        <v>112</v>
      </c>
      <c r="P285" s="2087"/>
      <c r="Q285" s="2087">
        <v>266000</v>
      </c>
      <c r="R285" s="2087">
        <v>350000</v>
      </c>
      <c r="S285" s="2087">
        <v>0</v>
      </c>
      <c r="T285" s="2087">
        <v>0</v>
      </c>
      <c r="U285" s="2087">
        <v>0</v>
      </c>
      <c r="V285" s="2087">
        <v>0</v>
      </c>
      <c r="W285" s="2087">
        <v>0</v>
      </c>
      <c r="X285" s="2087">
        <v>0</v>
      </c>
      <c r="Y285" s="2087">
        <v>0</v>
      </c>
      <c r="Z285" s="2061" t="s">
        <v>345</v>
      </c>
      <c r="AA285" s="2062">
        <f>Q277</f>
        <v>266000</v>
      </c>
    </row>
    <row r="286" spans="1:27">
      <c r="A286" s="2039"/>
      <c r="B286" s="2028"/>
      <c r="C286" s="2029"/>
      <c r="D286" s="2029"/>
      <c r="E286" s="2029"/>
      <c r="F286" s="2029"/>
      <c r="G286" s="2029"/>
      <c r="H286" s="2029"/>
      <c r="I286" s="2030"/>
      <c r="J286" s="2048"/>
      <c r="K286" s="2048"/>
      <c r="L286" s="2089"/>
      <c r="M286" s="2035"/>
      <c r="N286" s="2058"/>
      <c r="O286" s="2058"/>
      <c r="P286" s="2087"/>
      <c r="Q286" s="2087"/>
      <c r="R286" s="2087"/>
      <c r="S286" s="2087"/>
      <c r="T286" s="2087"/>
      <c r="U286" s="2087"/>
      <c r="V286" s="2087"/>
      <c r="W286" s="2087"/>
      <c r="X286" s="2087"/>
      <c r="Y286" s="2087"/>
      <c r="Z286" s="2061"/>
      <c r="AA286" s="2062"/>
    </row>
    <row r="287" spans="1:27">
      <c r="A287" s="2039"/>
      <c r="B287" s="2028"/>
      <c r="C287" s="2029"/>
      <c r="D287" s="2029"/>
      <c r="E287" s="2029"/>
      <c r="F287" s="2029"/>
      <c r="G287" s="2029"/>
      <c r="H287" s="2029"/>
      <c r="I287" s="2030"/>
      <c r="J287" s="2048"/>
      <c r="K287" s="2048"/>
      <c r="L287" s="2089"/>
      <c r="M287" s="2035"/>
      <c r="N287" s="2058"/>
      <c r="O287" s="2058"/>
      <c r="P287" s="2087"/>
      <c r="Q287" s="2087"/>
      <c r="R287" s="2087"/>
      <c r="S287" s="2087"/>
      <c r="T287" s="2087"/>
      <c r="U287" s="2087"/>
      <c r="V287" s="2087"/>
      <c r="W287" s="2087"/>
      <c r="X287" s="2087"/>
      <c r="Y287" s="2087"/>
      <c r="Z287" s="2063"/>
      <c r="AA287" s="2062"/>
    </row>
    <row r="288" spans="1:27" ht="9" customHeight="1" thickBot="1">
      <c r="A288" s="2040"/>
      <c r="B288" s="2031"/>
      <c r="C288" s="2032"/>
      <c r="D288" s="2032"/>
      <c r="E288" s="2032"/>
      <c r="F288" s="2032"/>
      <c r="G288" s="2032"/>
      <c r="H288" s="2032"/>
      <c r="I288" s="2033"/>
      <c r="J288" s="2050"/>
      <c r="K288" s="2050"/>
      <c r="L288" s="2090"/>
      <c r="M288" s="2036"/>
      <c r="N288" s="2091"/>
      <c r="O288" s="2091"/>
      <c r="P288" s="2088"/>
      <c r="Q288" s="2088"/>
      <c r="R288" s="2088"/>
      <c r="S288" s="2088"/>
      <c r="T288" s="2088"/>
      <c r="U288" s="2088"/>
      <c r="V288" s="2088"/>
      <c r="W288" s="2088"/>
      <c r="X288" s="2088"/>
      <c r="Y288" s="2088"/>
      <c r="Z288" s="2064"/>
      <c r="AA288" s="2065"/>
    </row>
    <row r="289" spans="1:27" ht="9" customHeight="1" thickTop="1">
      <c r="A289" s="1117"/>
      <c r="B289" s="1116"/>
      <c r="C289" s="1116"/>
      <c r="D289" s="1116"/>
      <c r="E289" s="1116"/>
      <c r="F289" s="1116"/>
      <c r="G289" s="1116"/>
      <c r="H289" s="1116"/>
      <c r="I289" s="1116"/>
      <c r="J289" s="1118"/>
      <c r="K289" s="1118"/>
      <c r="L289" s="811"/>
      <c r="M289" s="825"/>
      <c r="N289" s="1118"/>
      <c r="O289" s="1118"/>
      <c r="P289" s="656"/>
      <c r="Q289" s="656"/>
      <c r="R289" s="656"/>
      <c r="S289" s="656"/>
      <c r="T289" s="656"/>
      <c r="U289" s="656"/>
      <c r="V289" s="656"/>
      <c r="W289" s="656"/>
      <c r="X289" s="656"/>
      <c r="Y289" s="656"/>
      <c r="Z289" s="812"/>
      <c r="AA289" s="642"/>
    </row>
    <row r="290" spans="1:27" ht="9" hidden="1" customHeight="1" thickTop="1">
      <c r="A290" s="2037"/>
      <c r="B290" s="2041" t="s">
        <v>101</v>
      </c>
      <c r="C290" s="2042"/>
      <c r="D290" s="2042"/>
      <c r="E290" s="2042"/>
      <c r="F290" s="2045"/>
      <c r="G290" s="2045"/>
      <c r="H290" s="2045"/>
      <c r="I290" s="2045"/>
      <c r="J290" s="2047"/>
      <c r="K290" s="2047"/>
      <c r="L290" s="2051">
        <f>SUM(N290,L296)</f>
        <v>0</v>
      </c>
      <c r="M290" s="2053" t="s">
        <v>120</v>
      </c>
      <c r="N290" s="2055">
        <f>SUM(N294:N301)</f>
        <v>0</v>
      </c>
      <c r="O290" s="2057" t="s">
        <v>112</v>
      </c>
      <c r="P290" s="2059">
        <f t="shared" ref="P290:Y290" si="21">SUM(P294:P301)</f>
        <v>0</v>
      </c>
      <c r="Q290" s="2059">
        <f t="shared" si="21"/>
        <v>0</v>
      </c>
      <c r="R290" s="2059">
        <f t="shared" si="21"/>
        <v>0</v>
      </c>
      <c r="S290" s="2059">
        <f t="shared" si="21"/>
        <v>0</v>
      </c>
      <c r="T290" s="2059">
        <f t="shared" si="21"/>
        <v>0</v>
      </c>
      <c r="U290" s="2059">
        <f t="shared" si="21"/>
        <v>0</v>
      </c>
      <c r="V290" s="2059">
        <f t="shared" si="21"/>
        <v>0</v>
      </c>
      <c r="W290" s="2059">
        <f t="shared" si="21"/>
        <v>0</v>
      </c>
      <c r="X290" s="2059">
        <f t="shared" si="21"/>
        <v>0</v>
      </c>
      <c r="Y290" s="2059">
        <f t="shared" si="21"/>
        <v>0</v>
      </c>
      <c r="Z290" s="2066">
        <f>SUM(AA294:AA301)</f>
        <v>0</v>
      </c>
      <c r="AA290" s="2067"/>
    </row>
    <row r="291" spans="1:27" ht="27" hidden="1" customHeight="1">
      <c r="A291" s="2038"/>
      <c r="B291" s="2043"/>
      <c r="C291" s="2044"/>
      <c r="D291" s="2044"/>
      <c r="E291" s="2044"/>
      <c r="F291" s="2046"/>
      <c r="G291" s="2046"/>
      <c r="H291" s="2046"/>
      <c r="I291" s="2046"/>
      <c r="J291" s="2048"/>
      <c r="K291" s="2048"/>
      <c r="L291" s="2052"/>
      <c r="M291" s="2054"/>
      <c r="N291" s="2056"/>
      <c r="O291" s="2058"/>
      <c r="P291" s="2060"/>
      <c r="Q291" s="2060"/>
      <c r="R291" s="2060"/>
      <c r="S291" s="2060"/>
      <c r="T291" s="2060"/>
      <c r="U291" s="2060"/>
      <c r="V291" s="2060"/>
      <c r="W291" s="2060"/>
      <c r="X291" s="2060"/>
      <c r="Y291" s="2060"/>
      <c r="Z291" s="2068"/>
      <c r="AA291" s="2069"/>
    </row>
    <row r="292" spans="1:27" ht="9" hidden="1" customHeight="1">
      <c r="A292" s="2038"/>
      <c r="B292" s="2072" t="s">
        <v>107</v>
      </c>
      <c r="C292" s="2058"/>
      <c r="D292" s="2058"/>
      <c r="E292" s="2058"/>
      <c r="F292" s="2046"/>
      <c r="G292" s="2046"/>
      <c r="H292" s="2046"/>
      <c r="I292" s="2046"/>
      <c r="J292" s="2048"/>
      <c r="K292" s="2048"/>
      <c r="L292" s="2052"/>
      <c r="M292" s="2054"/>
      <c r="N292" s="2056"/>
      <c r="O292" s="2058"/>
      <c r="P292" s="2060"/>
      <c r="Q292" s="2060"/>
      <c r="R292" s="2060"/>
      <c r="S292" s="2060"/>
      <c r="T292" s="2060"/>
      <c r="U292" s="2060"/>
      <c r="V292" s="2060"/>
      <c r="W292" s="2060"/>
      <c r="X292" s="2060"/>
      <c r="Y292" s="2060"/>
      <c r="Z292" s="2068"/>
      <c r="AA292" s="2069"/>
    </row>
    <row r="293" spans="1:27" ht="9" hidden="1" customHeight="1">
      <c r="A293" s="2038"/>
      <c r="B293" s="2073"/>
      <c r="C293" s="2074"/>
      <c r="D293" s="2074"/>
      <c r="E293" s="2074"/>
      <c r="F293" s="2075"/>
      <c r="G293" s="2075"/>
      <c r="H293" s="2075"/>
      <c r="I293" s="2075"/>
      <c r="J293" s="2048"/>
      <c r="K293" s="2048"/>
      <c r="L293" s="2052"/>
      <c r="M293" s="2054"/>
      <c r="N293" s="2056"/>
      <c r="O293" s="2058"/>
      <c r="P293" s="2060"/>
      <c r="Q293" s="2060"/>
      <c r="R293" s="2060"/>
      <c r="S293" s="2060"/>
      <c r="T293" s="2060"/>
      <c r="U293" s="2060"/>
      <c r="V293" s="2060"/>
      <c r="W293" s="2060"/>
      <c r="X293" s="2060"/>
      <c r="Y293" s="2060"/>
      <c r="Z293" s="2070"/>
      <c r="AA293" s="2071"/>
    </row>
    <row r="294" spans="1:27" ht="9" hidden="1" customHeight="1">
      <c r="A294" s="2039"/>
      <c r="B294" s="2076"/>
      <c r="C294" s="2077"/>
      <c r="D294" s="2077"/>
      <c r="E294" s="2077"/>
      <c r="F294" s="2077"/>
      <c r="G294" s="2077"/>
      <c r="H294" s="2077"/>
      <c r="I294" s="2078"/>
      <c r="J294" s="2049"/>
      <c r="K294" s="2048"/>
      <c r="L294" s="2052"/>
      <c r="M294" s="2085" t="s">
        <v>143</v>
      </c>
      <c r="N294" s="2086">
        <f>SUM(P294:Y297)</f>
        <v>0</v>
      </c>
      <c r="O294" s="2058" t="s">
        <v>112</v>
      </c>
      <c r="P294" s="2087"/>
      <c r="Q294" s="2087"/>
      <c r="R294" s="2087">
        <v>0</v>
      </c>
      <c r="S294" s="2087">
        <v>0</v>
      </c>
      <c r="T294" s="2087">
        <v>0</v>
      </c>
      <c r="U294" s="2087">
        <v>0</v>
      </c>
      <c r="V294" s="2087">
        <v>0</v>
      </c>
      <c r="W294" s="2087">
        <v>0</v>
      </c>
      <c r="X294" s="2087">
        <v>0</v>
      </c>
      <c r="Y294" s="2087">
        <v>0</v>
      </c>
      <c r="Z294" s="2092"/>
      <c r="AA294" s="2093"/>
    </row>
    <row r="295" spans="1:27" ht="9" hidden="1" customHeight="1">
      <c r="A295" s="2039"/>
      <c r="B295" s="2079"/>
      <c r="C295" s="2080"/>
      <c r="D295" s="2080"/>
      <c r="E295" s="2080"/>
      <c r="F295" s="2080"/>
      <c r="G295" s="2080"/>
      <c r="H295" s="2080"/>
      <c r="I295" s="2081"/>
      <c r="J295" s="2049"/>
      <c r="K295" s="2048"/>
      <c r="L295" s="2052"/>
      <c r="M295" s="2085"/>
      <c r="N295" s="2058"/>
      <c r="O295" s="2058"/>
      <c r="P295" s="2087"/>
      <c r="Q295" s="2087"/>
      <c r="R295" s="2087"/>
      <c r="S295" s="2087"/>
      <c r="T295" s="2087"/>
      <c r="U295" s="2087"/>
      <c r="V295" s="2087"/>
      <c r="W295" s="2087"/>
      <c r="X295" s="2087"/>
      <c r="Y295" s="2087"/>
      <c r="Z295" s="2061"/>
      <c r="AA295" s="2062"/>
    </row>
    <row r="296" spans="1:27" ht="9" hidden="1" customHeight="1">
      <c r="A296" s="2039"/>
      <c r="B296" s="2079"/>
      <c r="C296" s="2080"/>
      <c r="D296" s="2080"/>
      <c r="E296" s="2080"/>
      <c r="F296" s="2080"/>
      <c r="G296" s="2080"/>
      <c r="H296" s="2080"/>
      <c r="I296" s="2081"/>
      <c r="J296" s="2049"/>
      <c r="K296" s="2048"/>
      <c r="L296" s="2089">
        <v>0</v>
      </c>
      <c r="M296" s="2085"/>
      <c r="N296" s="2058"/>
      <c r="O296" s="2058"/>
      <c r="P296" s="2087"/>
      <c r="Q296" s="2087"/>
      <c r="R296" s="2087"/>
      <c r="S296" s="2087"/>
      <c r="T296" s="2087"/>
      <c r="U296" s="2087"/>
      <c r="V296" s="2087"/>
      <c r="W296" s="2087"/>
      <c r="X296" s="2087"/>
      <c r="Y296" s="2087"/>
      <c r="Z296" s="2061" t="s">
        <v>154</v>
      </c>
      <c r="AA296" s="2062">
        <f>P290</f>
        <v>0</v>
      </c>
    </row>
    <row r="297" spans="1:27" ht="9" hidden="1" customHeight="1">
      <c r="A297" s="2039"/>
      <c r="B297" s="2082"/>
      <c r="C297" s="2083"/>
      <c r="D297" s="2083"/>
      <c r="E297" s="2083"/>
      <c r="F297" s="2083"/>
      <c r="G297" s="2083"/>
      <c r="H297" s="2083"/>
      <c r="I297" s="2084"/>
      <c r="J297" s="2049"/>
      <c r="K297" s="2048"/>
      <c r="L297" s="2089"/>
      <c r="M297" s="2085"/>
      <c r="N297" s="2058"/>
      <c r="O297" s="2058"/>
      <c r="P297" s="2087"/>
      <c r="Q297" s="2087"/>
      <c r="R297" s="2087"/>
      <c r="S297" s="2087"/>
      <c r="T297" s="2087"/>
      <c r="U297" s="2087"/>
      <c r="V297" s="2087"/>
      <c r="W297" s="2087"/>
      <c r="X297" s="2087"/>
      <c r="Y297" s="2087"/>
      <c r="Z297" s="2061"/>
      <c r="AA297" s="2062"/>
    </row>
    <row r="298" spans="1:27" ht="15" hidden="1" customHeight="1">
      <c r="A298" s="2039"/>
      <c r="B298" s="2028"/>
      <c r="C298" s="2029"/>
      <c r="D298" s="2029"/>
      <c r="E298" s="2029"/>
      <c r="F298" s="2029"/>
      <c r="G298" s="2029"/>
      <c r="H298" s="2029"/>
      <c r="I298" s="2030"/>
      <c r="J298" s="2048"/>
      <c r="K298" s="2048"/>
      <c r="L298" s="2089"/>
      <c r="M298" s="2034" t="s">
        <v>439</v>
      </c>
      <c r="N298" s="2130">
        <f>SUM(P298:Y301)</f>
        <v>0</v>
      </c>
      <c r="O298" s="2074" t="s">
        <v>112</v>
      </c>
      <c r="P298" s="2135"/>
      <c r="Q298" s="2135"/>
      <c r="R298" s="2135">
        <v>0</v>
      </c>
      <c r="S298" s="2135">
        <v>0</v>
      </c>
      <c r="T298" s="2135">
        <v>0</v>
      </c>
      <c r="U298" s="2135">
        <v>0</v>
      </c>
      <c r="V298" s="2135">
        <v>0</v>
      </c>
      <c r="W298" s="2135">
        <v>0</v>
      </c>
      <c r="X298" s="2135">
        <v>0</v>
      </c>
      <c r="Y298" s="2135">
        <v>0</v>
      </c>
      <c r="Z298" s="2061" t="s">
        <v>345</v>
      </c>
      <c r="AA298" s="2062">
        <f>Q290</f>
        <v>0</v>
      </c>
    </row>
    <row r="299" spans="1:27" ht="12" hidden="1" customHeight="1">
      <c r="A299" s="2039"/>
      <c r="B299" s="2028"/>
      <c r="C299" s="2029"/>
      <c r="D299" s="2029"/>
      <c r="E299" s="2029"/>
      <c r="F299" s="2029"/>
      <c r="G299" s="2029"/>
      <c r="H299" s="2029"/>
      <c r="I299" s="2030"/>
      <c r="J299" s="2048"/>
      <c r="K299" s="2048"/>
      <c r="L299" s="2089"/>
      <c r="M299" s="2035"/>
      <c r="N299" s="2131"/>
      <c r="O299" s="2048"/>
      <c r="P299" s="2136"/>
      <c r="Q299" s="2136"/>
      <c r="R299" s="2136"/>
      <c r="S299" s="2136"/>
      <c r="T299" s="2136"/>
      <c r="U299" s="2136"/>
      <c r="V299" s="2136"/>
      <c r="W299" s="2136"/>
      <c r="X299" s="2136"/>
      <c r="Y299" s="2136"/>
      <c r="Z299" s="2061"/>
      <c r="AA299" s="2062"/>
    </row>
    <row r="300" spans="1:27" ht="12" hidden="1" customHeight="1">
      <c r="A300" s="2039"/>
      <c r="B300" s="2028"/>
      <c r="C300" s="2029"/>
      <c r="D300" s="2029"/>
      <c r="E300" s="2029"/>
      <c r="F300" s="2029"/>
      <c r="G300" s="2029"/>
      <c r="H300" s="2029"/>
      <c r="I300" s="2030"/>
      <c r="J300" s="2048"/>
      <c r="K300" s="2048"/>
      <c r="L300" s="2089"/>
      <c r="M300" s="2035"/>
      <c r="N300" s="2131"/>
      <c r="O300" s="2048"/>
      <c r="P300" s="2136"/>
      <c r="Q300" s="2136"/>
      <c r="R300" s="2136"/>
      <c r="S300" s="2136"/>
      <c r="T300" s="2136"/>
      <c r="U300" s="2136"/>
      <c r="V300" s="2136"/>
      <c r="W300" s="2136"/>
      <c r="X300" s="2136"/>
      <c r="Y300" s="2136"/>
      <c r="Z300" s="2063"/>
      <c r="AA300" s="2062"/>
    </row>
    <row r="301" spans="1:27" ht="9.75" hidden="1" customHeight="1" thickBot="1">
      <c r="A301" s="2040"/>
      <c r="B301" s="2031"/>
      <c r="C301" s="2032"/>
      <c r="D301" s="2032"/>
      <c r="E301" s="2032"/>
      <c r="F301" s="2032"/>
      <c r="G301" s="2032"/>
      <c r="H301" s="2032"/>
      <c r="I301" s="2033"/>
      <c r="J301" s="2050"/>
      <c r="K301" s="2050"/>
      <c r="L301" s="2090"/>
      <c r="M301" s="2036"/>
      <c r="N301" s="2138"/>
      <c r="O301" s="2050"/>
      <c r="P301" s="2137"/>
      <c r="Q301" s="2137"/>
      <c r="R301" s="2137"/>
      <c r="S301" s="2137"/>
      <c r="T301" s="2137"/>
      <c r="U301" s="2137"/>
      <c r="V301" s="2137"/>
      <c r="W301" s="2137"/>
      <c r="X301" s="2137"/>
      <c r="Y301" s="2137"/>
      <c r="Z301" s="2064"/>
      <c r="AA301" s="2065"/>
    </row>
    <row r="302" spans="1:27" ht="9" hidden="1" customHeight="1" thickTop="1" thickBot="1">
      <c r="A302" s="1117"/>
      <c r="B302" s="1116"/>
      <c r="C302" s="1116"/>
      <c r="D302" s="1116"/>
      <c r="E302" s="1116"/>
      <c r="F302" s="1116"/>
      <c r="G302" s="1116"/>
      <c r="H302" s="1116"/>
      <c r="I302" s="1116"/>
      <c r="J302" s="1118"/>
      <c r="K302" s="1118"/>
      <c r="L302" s="811"/>
      <c r="M302" s="825"/>
      <c r="N302" s="1118"/>
      <c r="O302" s="1118"/>
      <c r="P302" s="656"/>
      <c r="Q302" s="656"/>
      <c r="R302" s="656"/>
      <c r="S302" s="656"/>
      <c r="T302" s="656"/>
      <c r="U302" s="656"/>
      <c r="V302" s="656"/>
      <c r="W302" s="656"/>
      <c r="X302" s="656"/>
      <c r="Y302" s="656"/>
      <c r="Z302" s="812"/>
      <c r="AA302" s="642"/>
    </row>
    <row r="303" spans="1:27" ht="9" hidden="1" customHeight="1" thickTop="1">
      <c r="A303" s="2037"/>
      <c r="B303" s="2041" t="s">
        <v>101</v>
      </c>
      <c r="C303" s="2042"/>
      <c r="D303" s="2042"/>
      <c r="E303" s="2042"/>
      <c r="F303" s="2045"/>
      <c r="G303" s="2045"/>
      <c r="H303" s="2045"/>
      <c r="I303" s="2045"/>
      <c r="J303" s="2047"/>
      <c r="K303" s="2047"/>
      <c r="L303" s="2051">
        <f>SUM(N303,L309)</f>
        <v>0</v>
      </c>
      <c r="M303" s="2053" t="s">
        <v>120</v>
      </c>
      <c r="N303" s="2055">
        <f>SUM(N307:N314)</f>
        <v>0</v>
      </c>
      <c r="O303" s="2057" t="s">
        <v>112</v>
      </c>
      <c r="P303" s="2059">
        <f>SUM(P307:P314)</f>
        <v>0</v>
      </c>
      <c r="Q303" s="2059">
        <f>SUM(Q307:Q314)</f>
        <v>0</v>
      </c>
      <c r="R303" s="2059">
        <f>SUM(R307:R314)</f>
        <v>0</v>
      </c>
      <c r="S303" s="2059">
        <f t="shared" ref="S303:Y303" si="22">SUM(S307:S314)</f>
        <v>0</v>
      </c>
      <c r="T303" s="2059">
        <f t="shared" si="22"/>
        <v>0</v>
      </c>
      <c r="U303" s="2059">
        <f t="shared" si="22"/>
        <v>0</v>
      </c>
      <c r="V303" s="2059">
        <f t="shared" si="22"/>
        <v>0</v>
      </c>
      <c r="W303" s="2059">
        <f t="shared" si="22"/>
        <v>0</v>
      </c>
      <c r="X303" s="2059">
        <f t="shared" si="22"/>
        <v>0</v>
      </c>
      <c r="Y303" s="2059">
        <f t="shared" si="22"/>
        <v>0</v>
      </c>
      <c r="Z303" s="2066">
        <f>SUM(AA307:AA314)</f>
        <v>0</v>
      </c>
      <c r="AA303" s="2067"/>
    </row>
    <row r="304" spans="1:27" ht="28.5" hidden="1" customHeight="1">
      <c r="A304" s="2038"/>
      <c r="B304" s="2043"/>
      <c r="C304" s="2044"/>
      <c r="D304" s="2044"/>
      <c r="E304" s="2044"/>
      <c r="F304" s="2046"/>
      <c r="G304" s="2046"/>
      <c r="H304" s="2046"/>
      <c r="I304" s="2046"/>
      <c r="J304" s="2048"/>
      <c r="K304" s="2048"/>
      <c r="L304" s="2052"/>
      <c r="M304" s="2054"/>
      <c r="N304" s="2056"/>
      <c r="O304" s="2058"/>
      <c r="P304" s="2060"/>
      <c r="Q304" s="2060"/>
      <c r="R304" s="2060"/>
      <c r="S304" s="2060"/>
      <c r="T304" s="2060"/>
      <c r="U304" s="2060"/>
      <c r="V304" s="2060"/>
      <c r="W304" s="2060"/>
      <c r="X304" s="2060"/>
      <c r="Y304" s="2060"/>
      <c r="Z304" s="2068"/>
      <c r="AA304" s="2069"/>
    </row>
    <row r="305" spans="1:27" ht="9" hidden="1" customHeight="1">
      <c r="A305" s="2038"/>
      <c r="B305" s="2072" t="s">
        <v>107</v>
      </c>
      <c r="C305" s="2058"/>
      <c r="D305" s="2058"/>
      <c r="E305" s="2058"/>
      <c r="F305" s="2046"/>
      <c r="G305" s="2046"/>
      <c r="H305" s="2046"/>
      <c r="I305" s="2046"/>
      <c r="J305" s="2048"/>
      <c r="K305" s="2048"/>
      <c r="L305" s="2052"/>
      <c r="M305" s="2054"/>
      <c r="N305" s="2056"/>
      <c r="O305" s="2058"/>
      <c r="P305" s="2060"/>
      <c r="Q305" s="2060"/>
      <c r="R305" s="2060"/>
      <c r="S305" s="2060"/>
      <c r="T305" s="2060"/>
      <c r="U305" s="2060"/>
      <c r="V305" s="2060"/>
      <c r="W305" s="2060"/>
      <c r="X305" s="2060"/>
      <c r="Y305" s="2060"/>
      <c r="Z305" s="2068"/>
      <c r="AA305" s="2069"/>
    </row>
    <row r="306" spans="1:27" ht="9" hidden="1" customHeight="1">
      <c r="A306" s="2038"/>
      <c r="B306" s="2073"/>
      <c r="C306" s="2074"/>
      <c r="D306" s="2074"/>
      <c r="E306" s="2074"/>
      <c r="F306" s="2075"/>
      <c r="G306" s="2075"/>
      <c r="H306" s="2075"/>
      <c r="I306" s="2075"/>
      <c r="J306" s="2048"/>
      <c r="K306" s="2048"/>
      <c r="L306" s="2052"/>
      <c r="M306" s="2054"/>
      <c r="N306" s="2056"/>
      <c r="O306" s="2058"/>
      <c r="P306" s="2060"/>
      <c r="Q306" s="2060"/>
      <c r="R306" s="2060"/>
      <c r="S306" s="2060"/>
      <c r="T306" s="2060"/>
      <c r="U306" s="2060"/>
      <c r="V306" s="2060"/>
      <c r="W306" s="2060"/>
      <c r="X306" s="2060"/>
      <c r="Y306" s="2060"/>
      <c r="Z306" s="2070"/>
      <c r="AA306" s="2071"/>
    </row>
    <row r="307" spans="1:27" ht="9" hidden="1" customHeight="1">
      <c r="A307" s="2039"/>
      <c r="B307" s="2076"/>
      <c r="C307" s="2077"/>
      <c r="D307" s="2077"/>
      <c r="E307" s="2077"/>
      <c r="F307" s="2077"/>
      <c r="G307" s="2077"/>
      <c r="H307" s="2077"/>
      <c r="I307" s="2078"/>
      <c r="J307" s="2049"/>
      <c r="K307" s="2048"/>
      <c r="L307" s="2052"/>
      <c r="M307" s="2085" t="s">
        <v>143</v>
      </c>
      <c r="N307" s="2086">
        <f>SUM(P307:Y310)</f>
        <v>0</v>
      </c>
      <c r="O307" s="2058" t="s">
        <v>112</v>
      </c>
      <c r="P307" s="2087"/>
      <c r="Q307" s="2087"/>
      <c r="R307" s="2087">
        <v>0</v>
      </c>
      <c r="S307" s="2087">
        <v>0</v>
      </c>
      <c r="T307" s="2087">
        <v>0</v>
      </c>
      <c r="U307" s="2087">
        <v>0</v>
      </c>
      <c r="V307" s="2087">
        <v>0</v>
      </c>
      <c r="W307" s="2087">
        <v>0</v>
      </c>
      <c r="X307" s="2087">
        <v>0</v>
      </c>
      <c r="Y307" s="2087">
        <v>0</v>
      </c>
      <c r="Z307" s="2092"/>
      <c r="AA307" s="2093"/>
    </row>
    <row r="308" spans="1:27" ht="9" hidden="1" customHeight="1">
      <c r="A308" s="2039"/>
      <c r="B308" s="2079"/>
      <c r="C308" s="2080"/>
      <c r="D308" s="2080"/>
      <c r="E308" s="2080"/>
      <c r="F308" s="2080"/>
      <c r="G308" s="2080"/>
      <c r="H308" s="2080"/>
      <c r="I308" s="2081"/>
      <c r="J308" s="2049"/>
      <c r="K308" s="2048"/>
      <c r="L308" s="2052"/>
      <c r="M308" s="2085"/>
      <c r="N308" s="2058"/>
      <c r="O308" s="2058"/>
      <c r="P308" s="2087"/>
      <c r="Q308" s="2087"/>
      <c r="R308" s="2087"/>
      <c r="S308" s="2087"/>
      <c r="T308" s="2087"/>
      <c r="U308" s="2087"/>
      <c r="V308" s="2087"/>
      <c r="W308" s="2087"/>
      <c r="X308" s="2087"/>
      <c r="Y308" s="2087"/>
      <c r="Z308" s="2061"/>
      <c r="AA308" s="2062"/>
    </row>
    <row r="309" spans="1:27" ht="9" hidden="1" customHeight="1">
      <c r="A309" s="2039"/>
      <c r="B309" s="2079"/>
      <c r="C309" s="2080"/>
      <c r="D309" s="2080"/>
      <c r="E309" s="2080"/>
      <c r="F309" s="2080"/>
      <c r="G309" s="2080"/>
      <c r="H309" s="2080"/>
      <c r="I309" s="2081"/>
      <c r="J309" s="2049"/>
      <c r="K309" s="2048"/>
      <c r="L309" s="2089">
        <v>0</v>
      </c>
      <c r="M309" s="2085"/>
      <c r="N309" s="2058"/>
      <c r="O309" s="2058"/>
      <c r="P309" s="2087"/>
      <c r="Q309" s="2087"/>
      <c r="R309" s="2087"/>
      <c r="S309" s="2087"/>
      <c r="T309" s="2087"/>
      <c r="U309" s="2087"/>
      <c r="V309" s="2087"/>
      <c r="W309" s="2087"/>
      <c r="X309" s="2087"/>
      <c r="Y309" s="2087"/>
      <c r="Z309" s="2061" t="s">
        <v>154</v>
      </c>
      <c r="AA309" s="2062">
        <f>P303</f>
        <v>0</v>
      </c>
    </row>
    <row r="310" spans="1:27" ht="9" hidden="1" customHeight="1">
      <c r="A310" s="2039"/>
      <c r="B310" s="2082"/>
      <c r="C310" s="2083"/>
      <c r="D310" s="2083"/>
      <c r="E310" s="2083"/>
      <c r="F310" s="2083"/>
      <c r="G310" s="2083"/>
      <c r="H310" s="2083"/>
      <c r="I310" s="2084"/>
      <c r="J310" s="2049"/>
      <c r="K310" s="2048"/>
      <c r="L310" s="2089"/>
      <c r="M310" s="2085"/>
      <c r="N310" s="2058"/>
      <c r="O310" s="2058"/>
      <c r="P310" s="2087"/>
      <c r="Q310" s="2087"/>
      <c r="R310" s="2087"/>
      <c r="S310" s="2087"/>
      <c r="T310" s="2087"/>
      <c r="U310" s="2087"/>
      <c r="V310" s="2087"/>
      <c r="W310" s="2087"/>
      <c r="X310" s="2087"/>
      <c r="Y310" s="2087"/>
      <c r="Z310" s="2061"/>
      <c r="AA310" s="2062"/>
    </row>
    <row r="311" spans="1:27" ht="15.75" hidden="1" customHeight="1">
      <c r="A311" s="2039"/>
      <c r="B311" s="2028"/>
      <c r="C311" s="2029"/>
      <c r="D311" s="2029"/>
      <c r="E311" s="2029"/>
      <c r="F311" s="2029"/>
      <c r="G311" s="2029"/>
      <c r="H311" s="2029"/>
      <c r="I311" s="2030"/>
      <c r="J311" s="2048"/>
      <c r="K311" s="2048"/>
      <c r="L311" s="2089"/>
      <c r="M311" s="2034" t="s">
        <v>439</v>
      </c>
      <c r="N311" s="2086">
        <f>SUM(P311:Y314)</f>
        <v>0</v>
      </c>
      <c r="O311" s="2058" t="s">
        <v>112</v>
      </c>
      <c r="P311" s="2087"/>
      <c r="Q311" s="2087"/>
      <c r="R311" s="2087">
        <v>0</v>
      </c>
      <c r="S311" s="2087">
        <v>0</v>
      </c>
      <c r="T311" s="2087">
        <v>0</v>
      </c>
      <c r="U311" s="2087">
        <v>0</v>
      </c>
      <c r="V311" s="2087">
        <v>0</v>
      </c>
      <c r="W311" s="2087">
        <v>0</v>
      </c>
      <c r="X311" s="2087">
        <v>0</v>
      </c>
      <c r="Y311" s="2087">
        <v>0</v>
      </c>
      <c r="Z311" s="2061" t="s">
        <v>345</v>
      </c>
      <c r="AA311" s="2062">
        <f>Q303</f>
        <v>0</v>
      </c>
    </row>
    <row r="312" spans="1:27" ht="9" hidden="1" customHeight="1">
      <c r="A312" s="2039"/>
      <c r="B312" s="2028"/>
      <c r="C312" s="2029"/>
      <c r="D312" s="2029"/>
      <c r="E312" s="2029"/>
      <c r="F312" s="2029"/>
      <c r="G312" s="2029"/>
      <c r="H312" s="2029"/>
      <c r="I312" s="2030"/>
      <c r="J312" s="2048"/>
      <c r="K312" s="2048"/>
      <c r="L312" s="2089"/>
      <c r="M312" s="2035"/>
      <c r="N312" s="2058"/>
      <c r="O312" s="2058"/>
      <c r="P312" s="2087"/>
      <c r="Q312" s="2087"/>
      <c r="R312" s="2087"/>
      <c r="S312" s="2087"/>
      <c r="T312" s="2087"/>
      <c r="U312" s="2087"/>
      <c r="V312" s="2087"/>
      <c r="W312" s="2087"/>
      <c r="X312" s="2087"/>
      <c r="Y312" s="2087"/>
      <c r="Z312" s="2061"/>
      <c r="AA312" s="2062"/>
    </row>
    <row r="313" spans="1:27" ht="12.75" hidden="1" customHeight="1">
      <c r="A313" s="2039"/>
      <c r="B313" s="2028"/>
      <c r="C313" s="2029"/>
      <c r="D313" s="2029"/>
      <c r="E313" s="2029"/>
      <c r="F313" s="2029"/>
      <c r="G313" s="2029"/>
      <c r="H313" s="2029"/>
      <c r="I313" s="2030"/>
      <c r="J313" s="2048"/>
      <c r="K313" s="2048"/>
      <c r="L313" s="2089"/>
      <c r="M313" s="2035"/>
      <c r="N313" s="2058"/>
      <c r="O313" s="2058"/>
      <c r="P313" s="2087"/>
      <c r="Q313" s="2087"/>
      <c r="R313" s="2087"/>
      <c r="S313" s="2087"/>
      <c r="T313" s="2087"/>
      <c r="U313" s="2087"/>
      <c r="V313" s="2087"/>
      <c r="W313" s="2087"/>
      <c r="X313" s="2087"/>
      <c r="Y313" s="2087"/>
      <c r="Z313" s="2063"/>
      <c r="AA313" s="2062"/>
    </row>
    <row r="314" spans="1:27" ht="9" hidden="1" customHeight="1" thickBot="1">
      <c r="A314" s="2040"/>
      <c r="B314" s="2031"/>
      <c r="C314" s="2032"/>
      <c r="D314" s="2032"/>
      <c r="E314" s="2032"/>
      <c r="F314" s="2032"/>
      <c r="G314" s="2032"/>
      <c r="H314" s="2032"/>
      <c r="I314" s="2033"/>
      <c r="J314" s="2050"/>
      <c r="K314" s="2050"/>
      <c r="L314" s="2090"/>
      <c r="M314" s="2036"/>
      <c r="N314" s="2091"/>
      <c r="O314" s="2091"/>
      <c r="P314" s="2088"/>
      <c r="Q314" s="2088"/>
      <c r="R314" s="2088"/>
      <c r="S314" s="2088"/>
      <c r="T314" s="2088"/>
      <c r="U314" s="2088"/>
      <c r="V314" s="2088"/>
      <c r="W314" s="2088"/>
      <c r="X314" s="2088"/>
      <c r="Y314" s="2088"/>
      <c r="Z314" s="2064"/>
      <c r="AA314" s="2065"/>
    </row>
    <row r="315" spans="1:27" ht="9" hidden="1" customHeight="1" thickTop="1" thickBot="1">
      <c r="A315" s="1117"/>
      <c r="B315" s="1116"/>
      <c r="C315" s="1116"/>
      <c r="D315" s="1116"/>
      <c r="E315" s="1116"/>
      <c r="F315" s="1116"/>
      <c r="G315" s="1116"/>
      <c r="H315" s="1116"/>
      <c r="I315" s="1116"/>
      <c r="J315" s="1118"/>
      <c r="K315" s="1118"/>
      <c r="L315" s="811"/>
      <c r="M315" s="825"/>
      <c r="N315" s="1118"/>
      <c r="O315" s="1118"/>
      <c r="P315" s="656"/>
      <c r="Q315" s="656"/>
      <c r="R315" s="656"/>
      <c r="S315" s="656"/>
      <c r="T315" s="656"/>
      <c r="U315" s="656"/>
      <c r="V315" s="656"/>
      <c r="W315" s="656"/>
      <c r="X315" s="656"/>
      <c r="Y315" s="656"/>
      <c r="Z315" s="812"/>
      <c r="AA315" s="642"/>
    </row>
    <row r="316" spans="1:27" ht="31.5" hidden="1" customHeight="1" thickTop="1">
      <c r="A316" s="2037"/>
      <c r="B316" s="2094" t="s">
        <v>101</v>
      </c>
      <c r="C316" s="2095"/>
      <c r="D316" s="2096"/>
      <c r="E316" s="2097"/>
      <c r="F316" s="2098"/>
      <c r="G316" s="2099"/>
      <c r="H316" s="2099"/>
      <c r="I316" s="2100"/>
      <c r="J316" s="2047"/>
      <c r="K316" s="2047"/>
      <c r="L316" s="2051">
        <f>SUM(N316,L321)</f>
        <v>0</v>
      </c>
      <c r="M316" s="2053" t="s">
        <v>120</v>
      </c>
      <c r="N316" s="2055">
        <f>SUM(N320:N323)</f>
        <v>0</v>
      </c>
      <c r="O316" s="2057" t="s">
        <v>112</v>
      </c>
      <c r="P316" s="2059">
        <f t="shared" ref="P316:Y316" si="23">SUM(P320:P323)</f>
        <v>0</v>
      </c>
      <c r="Q316" s="2059">
        <f t="shared" si="23"/>
        <v>0</v>
      </c>
      <c r="R316" s="2059">
        <f t="shared" si="23"/>
        <v>0</v>
      </c>
      <c r="S316" s="2059">
        <f t="shared" si="23"/>
        <v>0</v>
      </c>
      <c r="T316" s="2059">
        <f t="shared" si="23"/>
        <v>0</v>
      </c>
      <c r="U316" s="2059">
        <f t="shared" si="23"/>
        <v>0</v>
      </c>
      <c r="V316" s="2059">
        <f t="shared" si="23"/>
        <v>0</v>
      </c>
      <c r="W316" s="2059">
        <f t="shared" si="23"/>
        <v>0</v>
      </c>
      <c r="X316" s="2059">
        <f t="shared" si="23"/>
        <v>0</v>
      </c>
      <c r="Y316" s="2059">
        <f t="shared" si="23"/>
        <v>0</v>
      </c>
      <c r="Z316" s="2066">
        <f>SUM(AA320:AA323)</f>
        <v>0</v>
      </c>
      <c r="AA316" s="2067"/>
    </row>
    <row r="317" spans="1:27" ht="17.25" hidden="1" customHeight="1">
      <c r="A317" s="2038"/>
      <c r="B317" s="2101" t="s">
        <v>433</v>
      </c>
      <c r="C317" s="2102"/>
      <c r="D317" s="2103"/>
      <c r="E317" s="2104"/>
      <c r="F317" s="2105"/>
      <c r="G317" s="2106"/>
      <c r="H317" s="2106"/>
      <c r="I317" s="2107"/>
      <c r="J317" s="2048"/>
      <c r="K317" s="2048"/>
      <c r="L317" s="2126"/>
      <c r="M317" s="2054"/>
      <c r="N317" s="2056"/>
      <c r="O317" s="2058"/>
      <c r="P317" s="2060"/>
      <c r="Q317" s="2060"/>
      <c r="R317" s="2060"/>
      <c r="S317" s="2060"/>
      <c r="T317" s="2060"/>
      <c r="U317" s="2060"/>
      <c r="V317" s="2060"/>
      <c r="W317" s="2060"/>
      <c r="X317" s="2060"/>
      <c r="Y317" s="2060"/>
      <c r="Z317" s="2068"/>
      <c r="AA317" s="2069"/>
    </row>
    <row r="318" spans="1:27" ht="27.75" hidden="1" customHeight="1">
      <c r="A318" s="2038"/>
      <c r="B318" s="2076"/>
      <c r="C318" s="2077"/>
      <c r="D318" s="2108"/>
      <c r="E318" s="2108"/>
      <c r="F318" s="2108"/>
      <c r="G318" s="2108"/>
      <c r="H318" s="2108"/>
      <c r="I318" s="2109"/>
      <c r="J318" s="2048"/>
      <c r="K318" s="2048"/>
      <c r="L318" s="2126"/>
      <c r="M318" s="2054"/>
      <c r="N318" s="2056"/>
      <c r="O318" s="2058"/>
      <c r="P318" s="2060"/>
      <c r="Q318" s="2060"/>
      <c r="R318" s="2060"/>
      <c r="S318" s="2060"/>
      <c r="T318" s="2060"/>
      <c r="U318" s="2060"/>
      <c r="V318" s="2060"/>
      <c r="W318" s="2060"/>
      <c r="X318" s="2060"/>
      <c r="Y318" s="2060"/>
      <c r="Z318" s="2068"/>
      <c r="AA318" s="2069"/>
    </row>
    <row r="319" spans="1:27" ht="32.25" hidden="1" customHeight="1">
      <c r="A319" s="2038"/>
      <c r="B319" s="2082"/>
      <c r="C319" s="2083"/>
      <c r="D319" s="2110"/>
      <c r="E319" s="2110"/>
      <c r="F319" s="2110"/>
      <c r="G319" s="2110"/>
      <c r="H319" s="2110"/>
      <c r="I319" s="2111"/>
      <c r="J319" s="2048"/>
      <c r="K319" s="2048"/>
      <c r="L319" s="2126"/>
      <c r="M319" s="2054"/>
      <c r="N319" s="2056"/>
      <c r="O319" s="2058"/>
      <c r="P319" s="2060"/>
      <c r="Q319" s="2060"/>
      <c r="R319" s="2060"/>
      <c r="S319" s="2060"/>
      <c r="T319" s="2060"/>
      <c r="U319" s="2060"/>
      <c r="V319" s="2060"/>
      <c r="W319" s="2060"/>
      <c r="X319" s="2060"/>
      <c r="Y319" s="2060"/>
      <c r="Z319" s="2070"/>
      <c r="AA319" s="2071"/>
    </row>
    <row r="320" spans="1:27" ht="9" hidden="1" customHeight="1">
      <c r="A320" s="2039"/>
      <c r="B320" s="2028"/>
      <c r="C320" s="2029"/>
      <c r="D320" s="2029"/>
      <c r="E320" s="2029"/>
      <c r="F320" s="2029"/>
      <c r="G320" s="2029"/>
      <c r="H320" s="2029"/>
      <c r="I320" s="2030"/>
      <c r="J320" s="2049"/>
      <c r="K320" s="2048"/>
      <c r="L320" s="2126"/>
      <c r="M320" s="2085" t="s">
        <v>441</v>
      </c>
      <c r="N320" s="2086">
        <f>SUM(P320:Y323)</f>
        <v>0</v>
      </c>
      <c r="O320" s="2058" t="s">
        <v>112</v>
      </c>
      <c r="P320" s="2087"/>
      <c r="Q320" s="2087"/>
      <c r="R320" s="2087">
        <v>0</v>
      </c>
      <c r="S320" s="2087">
        <v>0</v>
      </c>
      <c r="T320" s="2087">
        <v>0</v>
      </c>
      <c r="U320" s="2087">
        <v>0</v>
      </c>
      <c r="V320" s="2087">
        <v>0</v>
      </c>
      <c r="W320" s="2087">
        <v>0</v>
      </c>
      <c r="X320" s="2087">
        <v>0</v>
      </c>
      <c r="Y320" s="2087">
        <v>0</v>
      </c>
      <c r="Z320" s="2061" t="s">
        <v>154</v>
      </c>
      <c r="AA320" s="2062">
        <f>P316</f>
        <v>0</v>
      </c>
    </row>
    <row r="321" spans="1:27" ht="9" hidden="1" customHeight="1">
      <c r="A321" s="2039"/>
      <c r="B321" s="2028"/>
      <c r="C321" s="2029"/>
      <c r="D321" s="2029"/>
      <c r="E321" s="2029"/>
      <c r="F321" s="2029"/>
      <c r="G321" s="2029"/>
      <c r="H321" s="2029"/>
      <c r="I321" s="2030"/>
      <c r="J321" s="2049"/>
      <c r="K321" s="2048"/>
      <c r="L321" s="2125">
        <v>0</v>
      </c>
      <c r="M321" s="2085"/>
      <c r="N321" s="2058"/>
      <c r="O321" s="2058"/>
      <c r="P321" s="2087"/>
      <c r="Q321" s="2087"/>
      <c r="R321" s="2087"/>
      <c r="S321" s="2087"/>
      <c r="T321" s="2087"/>
      <c r="U321" s="2087"/>
      <c r="V321" s="2087"/>
      <c r="W321" s="2087"/>
      <c r="X321" s="2087"/>
      <c r="Y321" s="2087"/>
      <c r="Z321" s="2061"/>
      <c r="AA321" s="2062"/>
    </row>
    <row r="322" spans="1:27" ht="9" hidden="1" customHeight="1">
      <c r="A322" s="2039"/>
      <c r="B322" s="2028"/>
      <c r="C322" s="2029"/>
      <c r="D322" s="2029"/>
      <c r="E322" s="2029"/>
      <c r="F322" s="2029"/>
      <c r="G322" s="2029"/>
      <c r="H322" s="2029"/>
      <c r="I322" s="2030"/>
      <c r="J322" s="2049"/>
      <c r="K322" s="2048"/>
      <c r="L322" s="2126"/>
      <c r="M322" s="2085"/>
      <c r="N322" s="2058"/>
      <c r="O322" s="2058"/>
      <c r="P322" s="2087"/>
      <c r="Q322" s="2087"/>
      <c r="R322" s="2087"/>
      <c r="S322" s="2087"/>
      <c r="T322" s="2087"/>
      <c r="U322" s="2087"/>
      <c r="V322" s="2087"/>
      <c r="W322" s="2087"/>
      <c r="X322" s="2087"/>
      <c r="Y322" s="2087"/>
      <c r="Z322" s="2061" t="s">
        <v>345</v>
      </c>
      <c r="AA322" s="2062">
        <f>Q316</f>
        <v>0</v>
      </c>
    </row>
    <row r="323" spans="1:27" ht="9" hidden="1" customHeight="1" thickBot="1">
      <c r="A323" s="2040"/>
      <c r="B323" s="2031"/>
      <c r="C323" s="2032"/>
      <c r="D323" s="2032"/>
      <c r="E323" s="2032"/>
      <c r="F323" s="2032"/>
      <c r="G323" s="2032"/>
      <c r="H323" s="2032"/>
      <c r="I323" s="2033"/>
      <c r="J323" s="2128"/>
      <c r="K323" s="2050"/>
      <c r="L323" s="2127"/>
      <c r="M323" s="2129"/>
      <c r="N323" s="2091"/>
      <c r="O323" s="2091"/>
      <c r="P323" s="2088"/>
      <c r="Q323" s="2088"/>
      <c r="R323" s="2088"/>
      <c r="S323" s="2088"/>
      <c r="T323" s="2088"/>
      <c r="U323" s="2088"/>
      <c r="V323" s="2088"/>
      <c r="W323" s="2088"/>
      <c r="X323" s="2088"/>
      <c r="Y323" s="2088"/>
      <c r="Z323" s="2061"/>
      <c r="AA323" s="2062"/>
    </row>
    <row r="324" spans="1:27" ht="6.75" customHeight="1" thickBot="1">
      <c r="A324" s="635"/>
      <c r="B324" s="636"/>
      <c r="C324" s="636"/>
      <c r="D324" s="636"/>
      <c r="E324" s="636"/>
      <c r="F324" s="636"/>
      <c r="G324" s="636"/>
      <c r="H324" s="636"/>
      <c r="I324" s="636"/>
      <c r="J324" s="635"/>
      <c r="K324" s="635"/>
      <c r="L324" s="661"/>
      <c r="M324" s="822"/>
      <c r="N324" s="640"/>
      <c r="O324" s="635"/>
      <c r="P324" s="655"/>
      <c r="Q324" s="657"/>
      <c r="R324" s="655"/>
      <c r="S324" s="655"/>
      <c r="T324" s="655"/>
      <c r="U324" s="655"/>
      <c r="V324" s="655"/>
      <c r="W324" s="655"/>
      <c r="X324" s="655"/>
      <c r="Y324" s="655"/>
      <c r="Z324" s="634"/>
      <c r="AA324" s="633"/>
    </row>
    <row r="325" spans="1:27" ht="13.5" thickTop="1">
      <c r="A325" s="2151" t="s">
        <v>135</v>
      </c>
      <c r="B325" s="2152"/>
      <c r="C325" s="2152"/>
      <c r="D325" s="2152"/>
      <c r="E325" s="2152"/>
      <c r="F325" s="2152"/>
      <c r="G325" s="2152"/>
      <c r="H325" s="2152"/>
      <c r="I325" s="2152"/>
      <c r="J325" s="2152"/>
      <c r="K325" s="2153"/>
      <c r="L325" s="2160">
        <f>L277+L264+L213+L204+L191+L178+L165+L152+L139+L126+L113+L100+L87+L74+L61+L44+L31+L18+L290+L303+L316+L251+L225</f>
        <v>44967911.229999997</v>
      </c>
      <c r="M325" s="2163" t="s">
        <v>120</v>
      </c>
      <c r="N325" s="2165">
        <f>SUM(N329:N336)</f>
        <v>39634530.699999996</v>
      </c>
      <c r="O325" s="2168" t="s">
        <v>112</v>
      </c>
      <c r="P325" s="2133">
        <f>IF(SUM(P329:P336)=(P113+P100+P87+P74+P61+P44+P31+P18+P213+P178+P165+P152+P139+P126+P277+P264+P204+P191+P290+P303+P316+P225+P251+P238),SUM(P329:P336),"błąd")</f>
        <v>13874679.699999999</v>
      </c>
      <c r="Q325" s="2133">
        <f>IF(SUM(Q329:Q336)=(Q113+Q100+Q87+Q74+Q61+Q44+Q31+Q18+Q213+Q178+Q165+Q152+Q139+Q126+Q277+Q264+Q204+Q191+Q290+Q303+Q316+Q225+Q251+Q238),SUM(Q329:Q336),"błąd")</f>
        <v>17622340</v>
      </c>
      <c r="R325" s="2133">
        <f>IF(SUM(R329:R336)=(R113+R100+R87+R74+R61+R44+R31+R18+R213+R178+R165+R152+R139+R126+R277+R264+R204+R191+R290+R303+R316+R225+R251+R238),SUM(R329:R336),"błąd")</f>
        <v>8137511</v>
      </c>
      <c r="S325" s="2133" t="e">
        <f>IF(SUM(S329:S336)=(S113+S100+S87+S74+S61+S44+S31+S18+S213+S178+S165+S152+S139+S126+S277+S264++#REF!+S204+S191+S290+S303+S316),SUM(S329:S336),"błąd")</f>
        <v>#REF!</v>
      </c>
      <c r="T325" s="2133" t="e">
        <f>IF(SUM(T329:T336)=(T113+T100+T87+T74+T61+T44+T31+T18+T213+T178+T165+T152+T139+T126+T277+T264++#REF!+T204+T191+T290+T303+T316),SUM(T329:T336),"błąd")</f>
        <v>#REF!</v>
      </c>
      <c r="U325" s="2133" t="e">
        <f>IF(SUM(U329:U336)=(U113+U100+U87+U74+U61+U44+U31+U18+U213+U178+U165+U152+U139+U126+U277+U264++#REF!+U204+U191+U290+U303+U316),SUM(U329:U336),"błąd")</f>
        <v>#REF!</v>
      </c>
      <c r="V325" s="2133" t="e">
        <f>IF(SUM(V329:V336)=(V113+V100+V87+V74+V61+V44+V31+V18+V213+V178+V165+V152+V139+V126+V277+V264++#REF!+V204+V191+V290+V303+V316),SUM(V329:V336),"błąd")</f>
        <v>#REF!</v>
      </c>
      <c r="W325" s="2133" t="e">
        <f>IF(SUM(W329:W336)=(W113+W100+W87+W74+W61+W44+W31+W18+W213+W178+W165+W152+W139+W126+W277+W264++#REF!+W204+W191+W290+W303+W316),SUM(W329:W336),"błąd")</f>
        <v>#REF!</v>
      </c>
      <c r="X325" s="2133" t="e">
        <f>IF(SUM(X329:X336)=(X113+X100+X87+X74+X61+X44+X31+X18+X213+X178+X165+X152+X139+X126+X277+X264++#REF!+X204+X191+X290+X303+X316),SUM(X329:X336),"błąd")</f>
        <v>#REF!</v>
      </c>
      <c r="Y325" s="2133" t="e">
        <f>IF(SUM(Y329:Y336)=(Y113+Y100+Y87+Y74+Y61+Y44+Y31+Y18+Y213+Y178+Y165+Y152+Y139+Y126+Y277+Y264++#REF!+Y204+Y191+Y290+Y303+Y316),SUM(Y329:Y336),"błąd")</f>
        <v>#REF!</v>
      </c>
      <c r="Z325" s="2066"/>
      <c r="AA325" s="2067"/>
    </row>
    <row r="326" spans="1:27">
      <c r="A326" s="2154"/>
      <c r="B326" s="2155"/>
      <c r="C326" s="2155"/>
      <c r="D326" s="2155"/>
      <c r="E326" s="2155"/>
      <c r="F326" s="2155"/>
      <c r="G326" s="2155"/>
      <c r="H326" s="2155"/>
      <c r="I326" s="2155"/>
      <c r="J326" s="2155"/>
      <c r="K326" s="2156"/>
      <c r="L326" s="2161"/>
      <c r="M326" s="2054"/>
      <c r="N326" s="2166"/>
      <c r="O326" s="2058"/>
      <c r="P326" s="2056"/>
      <c r="Q326" s="2056"/>
      <c r="R326" s="2056"/>
      <c r="S326" s="2056"/>
      <c r="T326" s="2056"/>
      <c r="U326" s="2056"/>
      <c r="V326" s="2056"/>
      <c r="W326" s="2056"/>
      <c r="X326" s="2056"/>
      <c r="Y326" s="2056"/>
      <c r="Z326" s="2068"/>
      <c r="AA326" s="2069"/>
    </row>
    <row r="327" spans="1:27">
      <c r="A327" s="2154"/>
      <c r="B327" s="2155"/>
      <c r="C327" s="2155"/>
      <c r="D327" s="2155"/>
      <c r="E327" s="2155"/>
      <c r="F327" s="2155"/>
      <c r="G327" s="2155"/>
      <c r="H327" s="2155"/>
      <c r="I327" s="2155"/>
      <c r="J327" s="2155"/>
      <c r="K327" s="2156"/>
      <c r="L327" s="2161"/>
      <c r="M327" s="2054"/>
      <c r="N327" s="2166"/>
      <c r="O327" s="2058"/>
      <c r="P327" s="2056"/>
      <c r="Q327" s="2056"/>
      <c r="R327" s="2056"/>
      <c r="S327" s="2056"/>
      <c r="T327" s="2056"/>
      <c r="U327" s="2056"/>
      <c r="V327" s="2056"/>
      <c r="W327" s="2056"/>
      <c r="X327" s="2056"/>
      <c r="Y327" s="2056"/>
      <c r="Z327" s="2068"/>
      <c r="AA327" s="2069"/>
    </row>
    <row r="328" spans="1:27" ht="4.5" customHeight="1">
      <c r="A328" s="2154"/>
      <c r="B328" s="2155"/>
      <c r="C328" s="2155"/>
      <c r="D328" s="2155"/>
      <c r="E328" s="2155"/>
      <c r="F328" s="2155"/>
      <c r="G328" s="2155"/>
      <c r="H328" s="2155"/>
      <c r="I328" s="2155"/>
      <c r="J328" s="2155"/>
      <c r="K328" s="2156"/>
      <c r="L328" s="2161"/>
      <c r="M328" s="2164"/>
      <c r="N328" s="2167"/>
      <c r="O328" s="2058"/>
      <c r="P328" s="2134"/>
      <c r="Q328" s="2134"/>
      <c r="R328" s="2134"/>
      <c r="S328" s="2134"/>
      <c r="T328" s="2134"/>
      <c r="U328" s="2134"/>
      <c r="V328" s="2134"/>
      <c r="W328" s="2134"/>
      <c r="X328" s="2134"/>
      <c r="Y328" s="2134"/>
      <c r="Z328" s="2068"/>
      <c r="AA328" s="2069"/>
    </row>
    <row r="329" spans="1:27">
      <c r="A329" s="2154"/>
      <c r="B329" s="2155"/>
      <c r="C329" s="2155"/>
      <c r="D329" s="2155"/>
      <c r="E329" s="2155"/>
      <c r="F329" s="2155"/>
      <c r="G329" s="2155"/>
      <c r="H329" s="2155"/>
      <c r="I329" s="2155"/>
      <c r="J329" s="2155"/>
      <c r="K329" s="2156"/>
      <c r="L329" s="2162"/>
      <c r="M329" s="2085" t="s">
        <v>143</v>
      </c>
      <c r="N329" s="2056">
        <f>SUM(P329:Y332)</f>
        <v>7266544.0499999998</v>
      </c>
      <c r="O329" s="2058" t="s">
        <v>112</v>
      </c>
      <c r="P329" s="2086">
        <f>P22+P35+P52+P65+P78+P91+P104+P117+P217+P156+P169+P182+P143+P130+P281+P195+P268+P294+P307+P320+P229+P255+P242</f>
        <v>4511842.05</v>
      </c>
      <c r="Q329" s="2086">
        <f>Q22+Q35+Q52+Q65+Q78+Q91+Q104+Q117+Q217+Q156+Q169+Q182+Q143+Q130+Q281+Q195+Q268+Q294+Q307+Q320+Q229+Q255+Q242</f>
        <v>2389558</v>
      </c>
      <c r="R329" s="2086">
        <f>R22+R35+R52+R65+R78+R91+R104+R117+R217+R156+R169+R182+R143+R130+R281+R195+R268+R294+R307+R320+R229+R255+R242</f>
        <v>365144</v>
      </c>
      <c r="S329" s="2086">
        <f t="shared" ref="S329:Y329" si="24">S22+S35+S52+S65+S78+S91+S104+S117+S217+S156+S169+S182+S143+S130+S281+S195+S268+S294+S307+S320</f>
        <v>0</v>
      </c>
      <c r="T329" s="2086">
        <f t="shared" si="24"/>
        <v>0</v>
      </c>
      <c r="U329" s="2086">
        <f t="shared" si="24"/>
        <v>0</v>
      </c>
      <c r="V329" s="2086">
        <f t="shared" si="24"/>
        <v>0</v>
      </c>
      <c r="W329" s="2086">
        <f t="shared" si="24"/>
        <v>0</v>
      </c>
      <c r="X329" s="2086">
        <f t="shared" si="24"/>
        <v>0</v>
      </c>
      <c r="Y329" s="2086">
        <f t="shared" si="24"/>
        <v>0</v>
      </c>
      <c r="Z329" s="2121"/>
      <c r="AA329" s="2122"/>
    </row>
    <row r="330" spans="1:27">
      <c r="A330" s="2154"/>
      <c r="B330" s="2155"/>
      <c r="C330" s="2155"/>
      <c r="D330" s="2155"/>
      <c r="E330" s="2155"/>
      <c r="F330" s="2155"/>
      <c r="G330" s="2155"/>
      <c r="H330" s="2155"/>
      <c r="I330" s="2155"/>
      <c r="J330" s="2155"/>
      <c r="K330" s="2156"/>
      <c r="L330" s="2162"/>
      <c r="M330" s="2085"/>
      <c r="N330" s="2056"/>
      <c r="O330" s="2058"/>
      <c r="P330" s="2086"/>
      <c r="Q330" s="2086"/>
      <c r="R330" s="2086"/>
      <c r="S330" s="2086"/>
      <c r="T330" s="2086"/>
      <c r="U330" s="2086"/>
      <c r="V330" s="2086"/>
      <c r="W330" s="2086"/>
      <c r="X330" s="2086"/>
      <c r="Y330" s="2086"/>
      <c r="Z330" s="2121"/>
      <c r="AA330" s="2122"/>
    </row>
    <row r="331" spans="1:27">
      <c r="A331" s="2154"/>
      <c r="B331" s="2155"/>
      <c r="C331" s="2155"/>
      <c r="D331" s="2155"/>
      <c r="E331" s="2155"/>
      <c r="F331" s="2155"/>
      <c r="G331" s="2155"/>
      <c r="H331" s="2155"/>
      <c r="I331" s="2155"/>
      <c r="J331" s="2155"/>
      <c r="K331" s="2156"/>
      <c r="L331" s="2162"/>
      <c r="M331" s="2085"/>
      <c r="N331" s="2056"/>
      <c r="O331" s="2058"/>
      <c r="P331" s="2086"/>
      <c r="Q331" s="2086"/>
      <c r="R331" s="2086"/>
      <c r="S331" s="2086"/>
      <c r="T331" s="2086"/>
      <c r="U331" s="2086"/>
      <c r="V331" s="2086"/>
      <c r="W331" s="2086"/>
      <c r="X331" s="2086"/>
      <c r="Y331" s="2086"/>
      <c r="Z331" s="2121"/>
      <c r="AA331" s="2122"/>
    </row>
    <row r="332" spans="1:27" ht="5.25" customHeight="1">
      <c r="A332" s="2154"/>
      <c r="B332" s="2155"/>
      <c r="C332" s="2155"/>
      <c r="D332" s="2155"/>
      <c r="E332" s="2155"/>
      <c r="F332" s="2155"/>
      <c r="G332" s="2155"/>
      <c r="H332" s="2155"/>
      <c r="I332" s="2155"/>
      <c r="J332" s="2155"/>
      <c r="K332" s="2156"/>
      <c r="L332" s="2162"/>
      <c r="M332" s="2085"/>
      <c r="N332" s="2056"/>
      <c r="O332" s="2058"/>
      <c r="P332" s="2086"/>
      <c r="Q332" s="2086"/>
      <c r="R332" s="2086"/>
      <c r="S332" s="2086"/>
      <c r="T332" s="2086"/>
      <c r="U332" s="2086"/>
      <c r="V332" s="2086"/>
      <c r="W332" s="2086"/>
      <c r="X332" s="2086"/>
      <c r="Y332" s="2086"/>
      <c r="Z332" s="2121"/>
      <c r="AA332" s="2122"/>
    </row>
    <row r="333" spans="1:27">
      <c r="A333" s="2154"/>
      <c r="B333" s="2155"/>
      <c r="C333" s="2155"/>
      <c r="D333" s="2155"/>
      <c r="E333" s="2155"/>
      <c r="F333" s="2155"/>
      <c r="G333" s="2155"/>
      <c r="H333" s="2155"/>
      <c r="I333" s="2155"/>
      <c r="J333" s="2155"/>
      <c r="K333" s="2156"/>
      <c r="L333" s="2169">
        <f>L24+L37+L52+L67+L80+L93+L106+L119+L184+L171+L158+L145+L132+L283+L270+L209+L197+L296+L309+L321+L219</f>
        <v>4786522.8500000006</v>
      </c>
      <c r="M333" s="2034" t="s">
        <v>400</v>
      </c>
      <c r="N333" s="2134">
        <f>SUM(P333:R336)</f>
        <v>32367986.649999999</v>
      </c>
      <c r="O333" s="2172" t="s">
        <v>112</v>
      </c>
      <c r="P333" s="2130">
        <f>P39+P48+P56+P69+P82+P95+P108+P121+P220+P186+P173+P160+P134+P147+P285+P272+P208+P199+P298+P311+P233+P259+P246</f>
        <v>9362837.6499999985</v>
      </c>
      <c r="Q333" s="2130">
        <f>Q39+Q48+Q56+Q69+Q82+Q95+Q108+Q121+Q220+Q186+Q173+Q160+Q134+Q147+Q285+Q272+Q208+Q199+Q298+Q311+Q233+Q259+Q246</f>
        <v>15232782</v>
      </c>
      <c r="R333" s="2130">
        <f>R39+R48+R56+R69+R82+R95+R108+R121+R220+R186+R173+R160+R134+R147+R285+R272+R208+R199+R298+R311+R233+R259+R246</f>
        <v>7772367</v>
      </c>
      <c r="S333" s="2130" t="e">
        <f>S39+S48+S56+S69+S82+S95+S108+S121+S220+S186+S173+S160+S134+S147+S285+S272+#REF!+S208+S199+S298+S311</f>
        <v>#REF!</v>
      </c>
      <c r="T333" s="2130" t="e">
        <f>T39+T48+T56+T69+T82+T95+T108+T121+T220+T186+T173+T160+T134+T147+T285+T272+#REF!+T208+T199+T298+T311</f>
        <v>#REF!</v>
      </c>
      <c r="U333" s="2130" t="e">
        <f>U39+U48+U56+U69+U82+U95+U108+U121+U220+U186+U173+U160+U134+U147+U285+U272+#REF!+U208+U199+U298+U311</f>
        <v>#REF!</v>
      </c>
      <c r="V333" s="2130" t="e">
        <f>V39+V48+V56+V69+V82+V95+V108+V121+V220+V186+V173+V160+V134+V147+V285+V272+#REF!+V208+V199+V298+V311</f>
        <v>#REF!</v>
      </c>
      <c r="W333" s="2130" t="e">
        <f>W39+W48+W56+W69+W82+W95+W108+W121+W220+W186+W173+W160+W134+W147+W285+W272+#REF!+W208+W199+W298+W311</f>
        <v>#REF!</v>
      </c>
      <c r="X333" s="2130" t="e">
        <f>X39+X48+X56+X69+X82+X95+X108+X121+X220+X186+X173+X160+X134+X147+X285+X272+#REF!+X208+X199+X298+X311</f>
        <v>#REF!</v>
      </c>
      <c r="Y333" s="2130" t="e">
        <f>Y39+Y48+Y56+Y69+Y82+Y95+Y108+Y121+Y220+Y186+Y173+Y160+Y134+Y147+Y285+Y272+#REF!+Y208+Y199+Y298+Y311</f>
        <v>#REF!</v>
      </c>
      <c r="Z333" s="2121"/>
      <c r="AA333" s="2122"/>
    </row>
    <row r="334" spans="1:27">
      <c r="A334" s="2154"/>
      <c r="B334" s="2155"/>
      <c r="C334" s="2155"/>
      <c r="D334" s="2155"/>
      <c r="E334" s="2155"/>
      <c r="F334" s="2155"/>
      <c r="G334" s="2155"/>
      <c r="H334" s="2155"/>
      <c r="I334" s="2155"/>
      <c r="J334" s="2155"/>
      <c r="K334" s="2156"/>
      <c r="L334" s="2169"/>
      <c r="M334" s="2035"/>
      <c r="N334" s="2166"/>
      <c r="O334" s="2172"/>
      <c r="P334" s="2131"/>
      <c r="Q334" s="2131"/>
      <c r="R334" s="2131"/>
      <c r="S334" s="2131"/>
      <c r="T334" s="2131"/>
      <c r="U334" s="2131"/>
      <c r="V334" s="2131"/>
      <c r="W334" s="2131"/>
      <c r="X334" s="2131"/>
      <c r="Y334" s="2131"/>
      <c r="Z334" s="2121"/>
      <c r="AA334" s="2122"/>
    </row>
    <row r="335" spans="1:27">
      <c r="A335" s="2154"/>
      <c r="B335" s="2155"/>
      <c r="C335" s="2155"/>
      <c r="D335" s="2155"/>
      <c r="E335" s="2155"/>
      <c r="F335" s="2155"/>
      <c r="G335" s="2155"/>
      <c r="H335" s="2155"/>
      <c r="I335" s="2155"/>
      <c r="J335" s="2155"/>
      <c r="K335" s="2156"/>
      <c r="L335" s="2169"/>
      <c r="M335" s="2035"/>
      <c r="N335" s="2166"/>
      <c r="O335" s="2172"/>
      <c r="P335" s="2131"/>
      <c r="Q335" s="2131"/>
      <c r="R335" s="2131"/>
      <c r="S335" s="2131"/>
      <c r="T335" s="2131"/>
      <c r="U335" s="2131"/>
      <c r="V335" s="2131"/>
      <c r="W335" s="2131"/>
      <c r="X335" s="2131"/>
      <c r="Y335" s="2131"/>
      <c r="Z335" s="2121"/>
      <c r="AA335" s="2122"/>
    </row>
    <row r="336" spans="1:27" ht="18" customHeight="1" thickBot="1">
      <c r="A336" s="2157"/>
      <c r="B336" s="2158"/>
      <c r="C336" s="2158"/>
      <c r="D336" s="2158"/>
      <c r="E336" s="2158"/>
      <c r="F336" s="2158"/>
      <c r="G336" s="2158"/>
      <c r="H336" s="2158"/>
      <c r="I336" s="2158"/>
      <c r="J336" s="2158"/>
      <c r="K336" s="2159"/>
      <c r="L336" s="2170"/>
      <c r="M336" s="2171"/>
      <c r="N336" s="2174"/>
      <c r="O336" s="2173"/>
      <c r="P336" s="2132"/>
      <c r="Q336" s="2132"/>
      <c r="R336" s="2132"/>
      <c r="S336" s="2132"/>
      <c r="T336" s="2132"/>
      <c r="U336" s="2132"/>
      <c r="V336" s="2132"/>
      <c r="W336" s="2132"/>
      <c r="X336" s="2132"/>
      <c r="Y336" s="2132"/>
      <c r="Z336" s="2123"/>
      <c r="AA336" s="2124"/>
    </row>
    <row r="337" spans="13:27">
      <c r="M337" s="632"/>
      <c r="N337" s="632"/>
      <c r="O337" s="632"/>
      <c r="Z337" s="632"/>
      <c r="AA337" s="631"/>
    </row>
    <row r="338" spans="13:27">
      <c r="N338" s="652" t="s">
        <v>331</v>
      </c>
    </row>
    <row r="339" spans="13:27">
      <c r="M339" s="652" t="s">
        <v>331</v>
      </c>
      <c r="P339" s="658">
        <f>SUM(P329:P336)</f>
        <v>13874679.699999999</v>
      </c>
    </row>
  </sheetData>
  <sheetProtection selectLockedCells="1" selectUnlockedCells="1"/>
  <mergeCells count="1507">
    <mergeCell ref="A316:A323"/>
    <mergeCell ref="B316:C316"/>
    <mergeCell ref="D316:E316"/>
    <mergeCell ref="F316:I316"/>
    <mergeCell ref="J316:J323"/>
    <mergeCell ref="K316:K323"/>
    <mergeCell ref="L316:L320"/>
    <mergeCell ref="B317:C317"/>
    <mergeCell ref="D317:E317"/>
    <mergeCell ref="F317:I317"/>
    <mergeCell ref="B318:I319"/>
    <mergeCell ref="L321:L323"/>
    <mergeCell ref="W316:W319"/>
    <mergeCell ref="X316:X319"/>
    <mergeCell ref="Y316:Y319"/>
    <mergeCell ref="Z316:AA319"/>
    <mergeCell ref="B320:I323"/>
    <mergeCell ref="M320:M323"/>
    <mergeCell ref="N320:N323"/>
    <mergeCell ref="O320:O323"/>
    <mergeCell ref="P320:P323"/>
    <mergeCell ref="Q320:Q323"/>
    <mergeCell ref="R320:R323"/>
    <mergeCell ref="S320:S323"/>
    <mergeCell ref="T320:T323"/>
    <mergeCell ref="U320:U323"/>
    <mergeCell ref="V320:V323"/>
    <mergeCell ref="W320:W323"/>
    <mergeCell ref="X320:X323"/>
    <mergeCell ref="Y320:Y323"/>
    <mergeCell ref="Z320:Z321"/>
    <mergeCell ref="AA320:AA321"/>
    <mergeCell ref="Z322:Z323"/>
    <mergeCell ref="AA322:AA323"/>
    <mergeCell ref="M316:M319"/>
    <mergeCell ref="N316:N319"/>
    <mergeCell ref="O316:O319"/>
    <mergeCell ref="P316:P319"/>
    <mergeCell ref="Q316:Q319"/>
    <mergeCell ref="R316:R319"/>
    <mergeCell ref="S316:S319"/>
    <mergeCell ref="T316:T319"/>
    <mergeCell ref="U316:U319"/>
    <mergeCell ref="V316:V319"/>
    <mergeCell ref="B311:I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W311:W314"/>
    <mergeCell ref="X311:X314"/>
    <mergeCell ref="Y311:Y314"/>
    <mergeCell ref="Z311:Z312"/>
    <mergeCell ref="AA311:AA312"/>
    <mergeCell ref="Z313:Z314"/>
    <mergeCell ref="AA313:AA314"/>
    <mergeCell ref="W303:W306"/>
    <mergeCell ref="X303:X306"/>
    <mergeCell ref="Y303:Y306"/>
    <mergeCell ref="Z303:AA306"/>
    <mergeCell ref="B305:C306"/>
    <mergeCell ref="D305:E306"/>
    <mergeCell ref="F305:I306"/>
    <mergeCell ref="B307:I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U307:U310"/>
    <mergeCell ref="V307:V310"/>
    <mergeCell ref="W307:W310"/>
    <mergeCell ref="X307:X310"/>
    <mergeCell ref="Y307:Y310"/>
    <mergeCell ref="Z307:Z308"/>
    <mergeCell ref="AA307:AA308"/>
    <mergeCell ref="L309:L314"/>
    <mergeCell ref="Z309:Z310"/>
    <mergeCell ref="AA309:AA310"/>
    <mergeCell ref="A303:A314"/>
    <mergeCell ref="B303:C304"/>
    <mergeCell ref="D303:E304"/>
    <mergeCell ref="F303:I304"/>
    <mergeCell ref="J303:J314"/>
    <mergeCell ref="K303:K314"/>
    <mergeCell ref="L303:L308"/>
    <mergeCell ref="M303:M306"/>
    <mergeCell ref="N303:N306"/>
    <mergeCell ref="O303:O306"/>
    <mergeCell ref="P303:P306"/>
    <mergeCell ref="Q303:Q306"/>
    <mergeCell ref="R303:R306"/>
    <mergeCell ref="S303:S306"/>
    <mergeCell ref="T303:T306"/>
    <mergeCell ref="U303:U306"/>
    <mergeCell ref="V303:V306"/>
    <mergeCell ref="U298:U301"/>
    <mergeCell ref="V298:V301"/>
    <mergeCell ref="B292:C293"/>
    <mergeCell ref="D292:E293"/>
    <mergeCell ref="F292:I293"/>
    <mergeCell ref="B294:I297"/>
    <mergeCell ref="M294:M297"/>
    <mergeCell ref="N294:N297"/>
    <mergeCell ref="O294:O297"/>
    <mergeCell ref="P294:P297"/>
    <mergeCell ref="Q294:Q297"/>
    <mergeCell ref="R294:R297"/>
    <mergeCell ref="L296:L301"/>
    <mergeCell ref="Z296:Z297"/>
    <mergeCell ref="AA296:AA297"/>
    <mergeCell ref="B298:I301"/>
    <mergeCell ref="M298:M301"/>
    <mergeCell ref="N298:N301"/>
    <mergeCell ref="O298:O301"/>
    <mergeCell ref="P298:P301"/>
    <mergeCell ref="Q298:Q301"/>
    <mergeCell ref="W298:W301"/>
    <mergeCell ref="X298:X301"/>
    <mergeCell ref="Y298:Y301"/>
    <mergeCell ref="Z298:Z299"/>
    <mergeCell ref="AA298:AA299"/>
    <mergeCell ref="Z300:Z301"/>
    <mergeCell ref="AA300:AA301"/>
    <mergeCell ref="P139:P142"/>
    <mergeCell ref="Q139:Q142"/>
    <mergeCell ref="R139:R142"/>
    <mergeCell ref="Z139:AA142"/>
    <mergeCell ref="B141:C142"/>
    <mergeCell ref="D141:E142"/>
    <mergeCell ref="F141:I142"/>
    <mergeCell ref="B139:C140"/>
    <mergeCell ref="D139:E140"/>
    <mergeCell ref="F139:I140"/>
    <mergeCell ref="J139:J150"/>
    <mergeCell ref="K139:K150"/>
    <mergeCell ref="L139:L144"/>
    <mergeCell ref="A290:A301"/>
    <mergeCell ref="B290:C291"/>
    <mergeCell ref="D290:E291"/>
    <mergeCell ref="F290:I291"/>
    <mergeCell ref="J290:J301"/>
    <mergeCell ref="K290:K301"/>
    <mergeCell ref="L290:L295"/>
    <mergeCell ref="M290:M293"/>
    <mergeCell ref="N290:N293"/>
    <mergeCell ref="O290:O293"/>
    <mergeCell ref="P290:P293"/>
    <mergeCell ref="Q290:Q293"/>
    <mergeCell ref="R290:R293"/>
    <mergeCell ref="S290:S293"/>
    <mergeCell ref="T290:T293"/>
    <mergeCell ref="U290:U293"/>
    <mergeCell ref="V290:V293"/>
    <mergeCell ref="R298:R301"/>
    <mergeCell ref="S298:S301"/>
    <mergeCell ref="P143:P146"/>
    <mergeCell ref="Q143:Q146"/>
    <mergeCell ref="R143:R146"/>
    <mergeCell ref="Z143:Z144"/>
    <mergeCell ref="AA143:AA144"/>
    <mergeCell ref="L145:L150"/>
    <mergeCell ref="Z145:Z146"/>
    <mergeCell ref="AA145:AA146"/>
    <mergeCell ref="M147:M150"/>
    <mergeCell ref="N147:N150"/>
    <mergeCell ref="O147:O150"/>
    <mergeCell ref="P147:P150"/>
    <mergeCell ref="Q147:Q150"/>
    <mergeCell ref="R147:R150"/>
    <mergeCell ref="Z147:Z148"/>
    <mergeCell ref="AA147:AA148"/>
    <mergeCell ref="Z149:Z150"/>
    <mergeCell ref="AA149:AA150"/>
    <mergeCell ref="S147:S150"/>
    <mergeCell ref="T147:T150"/>
    <mergeCell ref="U147:U150"/>
    <mergeCell ref="V147:V150"/>
    <mergeCell ref="W147:W150"/>
    <mergeCell ref="X147:X150"/>
    <mergeCell ref="Y147:Y150"/>
    <mergeCell ref="AA130:AA131"/>
    <mergeCell ref="L132:L137"/>
    <mergeCell ref="Z132:Z133"/>
    <mergeCell ref="AA132:AA133"/>
    <mergeCell ref="M134:M137"/>
    <mergeCell ref="N134:N137"/>
    <mergeCell ref="O134:O137"/>
    <mergeCell ref="P134:P137"/>
    <mergeCell ref="Q134:Q137"/>
    <mergeCell ref="R134:R137"/>
    <mergeCell ref="Z134:Z135"/>
    <mergeCell ref="AA134:AA135"/>
    <mergeCell ref="Z136:Z137"/>
    <mergeCell ref="AA136:AA137"/>
    <mergeCell ref="S134:S137"/>
    <mergeCell ref="W1:AA1"/>
    <mergeCell ref="A126:A137"/>
    <mergeCell ref="J126:J137"/>
    <mergeCell ref="K126:K137"/>
    <mergeCell ref="L126:L131"/>
    <mergeCell ref="M126:M129"/>
    <mergeCell ref="N126:N129"/>
    <mergeCell ref="O126:O129"/>
    <mergeCell ref="B130:I133"/>
    <mergeCell ref="M130:M133"/>
    <mergeCell ref="N130:N133"/>
    <mergeCell ref="O130:O133"/>
    <mergeCell ref="B134:I137"/>
    <mergeCell ref="P113:P116"/>
    <mergeCell ref="Q113:Q116"/>
    <mergeCell ref="P117:P120"/>
    <mergeCell ref="Q117:Q120"/>
    <mergeCell ref="M139:M142"/>
    <mergeCell ref="N139:N142"/>
    <mergeCell ref="O139:O142"/>
    <mergeCell ref="B143:I146"/>
    <mergeCell ref="M143:M146"/>
    <mergeCell ref="N143:N146"/>
    <mergeCell ref="O143:O146"/>
    <mergeCell ref="B147:I150"/>
    <mergeCell ref="A113:A124"/>
    <mergeCell ref="B113:C114"/>
    <mergeCell ref="D113:E114"/>
    <mergeCell ref="F113:I114"/>
    <mergeCell ref="J113:J124"/>
    <mergeCell ref="K113:K124"/>
    <mergeCell ref="L113:L118"/>
    <mergeCell ref="M113:M116"/>
    <mergeCell ref="N113:N116"/>
    <mergeCell ref="B117:I120"/>
    <mergeCell ref="M117:M120"/>
    <mergeCell ref="N117:N120"/>
    <mergeCell ref="B121:I124"/>
    <mergeCell ref="O113:O116"/>
    <mergeCell ref="B115:C116"/>
    <mergeCell ref="D115:E116"/>
    <mergeCell ref="F115:I116"/>
    <mergeCell ref="O117:O120"/>
    <mergeCell ref="L119:L124"/>
    <mergeCell ref="M121:M124"/>
    <mergeCell ref="N121:N124"/>
    <mergeCell ref="O121:O124"/>
    <mergeCell ref="A139:A150"/>
    <mergeCell ref="P121:P124"/>
    <mergeCell ref="Q121:Q124"/>
    <mergeCell ref="Y9:Y17"/>
    <mergeCell ref="U9:U17"/>
    <mergeCell ref="Z9:AA17"/>
    <mergeCell ref="B8:C9"/>
    <mergeCell ref="D8:E9"/>
    <mergeCell ref="F8:I9"/>
    <mergeCell ref="M9:M17"/>
    <mergeCell ref="N9:N17"/>
    <mergeCell ref="O9:O17"/>
    <mergeCell ref="B10:I13"/>
    <mergeCell ref="A3:AA3"/>
    <mergeCell ref="A4:AA4"/>
    <mergeCell ref="A6:A17"/>
    <mergeCell ref="B6:C7"/>
    <mergeCell ref="D6:E7"/>
    <mergeCell ref="F6:I7"/>
    <mergeCell ref="J6:K11"/>
    <mergeCell ref="L6:L11"/>
    <mergeCell ref="M6:AA8"/>
    <mergeCell ref="Q9:Q17"/>
    <mergeCell ref="B14:I17"/>
    <mergeCell ref="V9:V17"/>
    <mergeCell ref="W9:W17"/>
    <mergeCell ref="X9:X17"/>
    <mergeCell ref="B18:C19"/>
    <mergeCell ref="D18:E19"/>
    <mergeCell ref="F18:I19"/>
    <mergeCell ref="J18:J29"/>
    <mergeCell ref="B22:I25"/>
    <mergeCell ref="R9:R17"/>
    <mergeCell ref="P9:P17"/>
    <mergeCell ref="P18:P21"/>
    <mergeCell ref="Q18:Q21"/>
    <mergeCell ref="R18:R21"/>
    <mergeCell ref="J12:J17"/>
    <mergeCell ref="K12:K17"/>
    <mergeCell ref="L12:L17"/>
    <mergeCell ref="O22:O29"/>
    <mergeCell ref="B26:I29"/>
    <mergeCell ref="S9:S17"/>
    <mergeCell ref="T9:T17"/>
    <mergeCell ref="P22:P29"/>
    <mergeCell ref="Q22:Q29"/>
    <mergeCell ref="R22:R29"/>
    <mergeCell ref="A31:A42"/>
    <mergeCell ref="B31:C32"/>
    <mergeCell ref="D31:E32"/>
    <mergeCell ref="F31:I32"/>
    <mergeCell ref="J31:J42"/>
    <mergeCell ref="K31:K42"/>
    <mergeCell ref="B35:I38"/>
    <mergeCell ref="B33:C34"/>
    <mergeCell ref="D33:E34"/>
    <mergeCell ref="F33:I34"/>
    <mergeCell ref="A18:A29"/>
    <mergeCell ref="B39:I42"/>
    <mergeCell ref="M39:M42"/>
    <mergeCell ref="N39:N42"/>
    <mergeCell ref="O39:O42"/>
    <mergeCell ref="L37:L42"/>
    <mergeCell ref="M35:M38"/>
    <mergeCell ref="N35:N38"/>
    <mergeCell ref="Z18:AA21"/>
    <mergeCell ref="B20:C21"/>
    <mergeCell ref="D20:E21"/>
    <mergeCell ref="F20:I21"/>
    <mergeCell ref="K18:K29"/>
    <mergeCell ref="L18:L23"/>
    <mergeCell ref="M18:M21"/>
    <mergeCell ref="N18:N21"/>
    <mergeCell ref="O18:O21"/>
    <mergeCell ref="L24:L29"/>
    <mergeCell ref="Z24:Z25"/>
    <mergeCell ref="S18:S21"/>
    <mergeCell ref="T18:T21"/>
    <mergeCell ref="U18:U21"/>
    <mergeCell ref="V18:V21"/>
    <mergeCell ref="W18:W21"/>
    <mergeCell ref="X18:X21"/>
    <mergeCell ref="Y18:Y21"/>
    <mergeCell ref="W22:W29"/>
    <mergeCell ref="X22:X29"/>
    <mergeCell ref="Y22:Y29"/>
    <mergeCell ref="Z22:Z23"/>
    <mergeCell ref="AA22:AA23"/>
    <mergeCell ref="M22:M29"/>
    <mergeCell ref="N22:N29"/>
    <mergeCell ref="AA24:AA25"/>
    <mergeCell ref="Z26:Z27"/>
    <mergeCell ref="AA26:AA27"/>
    <mergeCell ref="Z28:Z29"/>
    <mergeCell ref="AA28:AA29"/>
    <mergeCell ref="S22:S29"/>
    <mergeCell ref="T22:T29"/>
    <mergeCell ref="U22:U29"/>
    <mergeCell ref="V22:V29"/>
    <mergeCell ref="S31:S34"/>
    <mergeCell ref="T31:T34"/>
    <mergeCell ref="U31:U34"/>
    <mergeCell ref="V31:V34"/>
    <mergeCell ref="W31:W34"/>
    <mergeCell ref="Z37:Z38"/>
    <mergeCell ref="AA37:AA38"/>
    <mergeCell ref="R35:R38"/>
    <mergeCell ref="Z35:Z36"/>
    <mergeCell ref="AA35:AA36"/>
    <mergeCell ref="Q39:Q42"/>
    <mergeCell ref="P35:P38"/>
    <mergeCell ref="Q35:Q38"/>
    <mergeCell ref="R39:R42"/>
    <mergeCell ref="Z39:Z40"/>
    <mergeCell ref="P39:P42"/>
    <mergeCell ref="P31:P34"/>
    <mergeCell ref="V35:V38"/>
    <mergeCell ref="W35:W38"/>
    <mergeCell ref="X35:X38"/>
    <mergeCell ref="Y35:Y38"/>
    <mergeCell ref="O35:O38"/>
    <mergeCell ref="Q31:Q34"/>
    <mergeCell ref="R31:R34"/>
    <mergeCell ref="Z31:AA34"/>
    <mergeCell ref="L31:L36"/>
    <mergeCell ref="M31:M34"/>
    <mergeCell ref="N31:N34"/>
    <mergeCell ref="O31:O34"/>
    <mergeCell ref="X31:X34"/>
    <mergeCell ref="Y31:Y34"/>
    <mergeCell ref="S35:S38"/>
    <mergeCell ref="T35:T38"/>
    <mergeCell ref="U35:U38"/>
    <mergeCell ref="Z52:Z53"/>
    <mergeCell ref="AA52:AA53"/>
    <mergeCell ref="Z54:Z55"/>
    <mergeCell ref="AA54:AA55"/>
    <mergeCell ref="L52:L59"/>
    <mergeCell ref="M52:M55"/>
    <mergeCell ref="N52:N55"/>
    <mergeCell ref="O52:O55"/>
    <mergeCell ref="P52:P55"/>
    <mergeCell ref="Z56:Z57"/>
    <mergeCell ref="AA56:AA57"/>
    <mergeCell ref="Z58:Z59"/>
    <mergeCell ref="AA58:AA59"/>
    <mergeCell ref="M56:M59"/>
    <mergeCell ref="N56:N59"/>
    <mergeCell ref="AA39:AA40"/>
    <mergeCell ref="Z41:Z42"/>
    <mergeCell ref="AA41:AA42"/>
    <mergeCell ref="Z48:Z49"/>
    <mergeCell ref="AA48:AA49"/>
    <mergeCell ref="Z50:Z51"/>
    <mergeCell ref="Q52:Q55"/>
    <mergeCell ref="R52:R55"/>
    <mergeCell ref="Q56:Q59"/>
    <mergeCell ref="AA50:AA51"/>
    <mergeCell ref="Z44:AA47"/>
    <mergeCell ref="S48:S51"/>
    <mergeCell ref="T48:T51"/>
    <mergeCell ref="U48:U51"/>
    <mergeCell ref="V48:V51"/>
    <mergeCell ref="W48:W51"/>
    <mergeCell ref="B69:I72"/>
    <mergeCell ref="M69:M72"/>
    <mergeCell ref="N69:N72"/>
    <mergeCell ref="O69:O72"/>
    <mergeCell ref="A61:A72"/>
    <mergeCell ref="B61:C62"/>
    <mergeCell ref="D61:E62"/>
    <mergeCell ref="F61:I62"/>
    <mergeCell ref="J61:J72"/>
    <mergeCell ref="K61:K72"/>
    <mergeCell ref="B65:I68"/>
    <mergeCell ref="L67:L72"/>
    <mergeCell ref="M65:M68"/>
    <mergeCell ref="N65:N68"/>
    <mergeCell ref="O65:O68"/>
    <mergeCell ref="R56:R59"/>
    <mergeCell ref="A44:A59"/>
    <mergeCell ref="Q61:Q64"/>
    <mergeCell ref="R61:R64"/>
    <mergeCell ref="K44:K59"/>
    <mergeCell ref="P69:P72"/>
    <mergeCell ref="Q69:Q72"/>
    <mergeCell ref="Q44:Q47"/>
    <mergeCell ref="R44:R47"/>
    <mergeCell ref="Q48:Q51"/>
    <mergeCell ref="R48:R51"/>
    <mergeCell ref="B44:C45"/>
    <mergeCell ref="D44:E45"/>
    <mergeCell ref="F44:I45"/>
    <mergeCell ref="J44:J59"/>
    <mergeCell ref="B48:C49"/>
    <mergeCell ref="D48:E49"/>
    <mergeCell ref="F48:I49"/>
    <mergeCell ref="B50:I55"/>
    <mergeCell ref="P48:P51"/>
    <mergeCell ref="B56:I59"/>
    <mergeCell ref="O44:O47"/>
    <mergeCell ref="P44:P47"/>
    <mergeCell ref="M48:M51"/>
    <mergeCell ref="N48:N51"/>
    <mergeCell ref="O48:O51"/>
    <mergeCell ref="B46:C47"/>
    <mergeCell ref="D46:E47"/>
    <mergeCell ref="F46:I47"/>
    <mergeCell ref="L44:L51"/>
    <mergeCell ref="M44:M47"/>
    <mergeCell ref="N44:N47"/>
    <mergeCell ref="O56:O59"/>
    <mergeCell ref="P56:P59"/>
    <mergeCell ref="Z61:AA64"/>
    <mergeCell ref="B63:C64"/>
    <mergeCell ref="D63:E64"/>
    <mergeCell ref="F63:I64"/>
    <mergeCell ref="L61:L66"/>
    <mergeCell ref="M61:M64"/>
    <mergeCell ref="N61:N64"/>
    <mergeCell ref="O61:O64"/>
    <mergeCell ref="P61:P64"/>
    <mergeCell ref="S61:S64"/>
    <mergeCell ref="T61:T64"/>
    <mergeCell ref="U61:U64"/>
    <mergeCell ref="V61:V64"/>
    <mergeCell ref="W61:W64"/>
    <mergeCell ref="X61:X64"/>
    <mergeCell ref="Y61:Y64"/>
    <mergeCell ref="U65:U68"/>
    <mergeCell ref="V65:V68"/>
    <mergeCell ref="W65:W68"/>
    <mergeCell ref="X65:X68"/>
    <mergeCell ref="Y65:Y68"/>
    <mergeCell ref="Z65:Z66"/>
    <mergeCell ref="AA65:AA66"/>
    <mergeCell ref="Z74:AA77"/>
    <mergeCell ref="R69:R72"/>
    <mergeCell ref="Z78:Z79"/>
    <mergeCell ref="AA78:AA79"/>
    <mergeCell ref="Q74:Q77"/>
    <mergeCell ref="R74:R77"/>
    <mergeCell ref="Z69:Z70"/>
    <mergeCell ref="AA69:AA70"/>
    <mergeCell ref="Z71:Z72"/>
    <mergeCell ref="AA71:AA72"/>
    <mergeCell ref="Z67:Z68"/>
    <mergeCell ref="AA67:AA68"/>
    <mergeCell ref="R65:R68"/>
    <mergeCell ref="P65:P68"/>
    <mergeCell ref="Q65:Q68"/>
    <mergeCell ref="S65:S68"/>
    <mergeCell ref="T65:T68"/>
    <mergeCell ref="P78:P81"/>
    <mergeCell ref="Q78:Q81"/>
    <mergeCell ref="R78:R81"/>
    <mergeCell ref="S78:S81"/>
    <mergeCell ref="T78:T81"/>
    <mergeCell ref="U78:U81"/>
    <mergeCell ref="V78:V81"/>
    <mergeCell ref="W78:W81"/>
    <mergeCell ref="X78:X81"/>
    <mergeCell ref="Y78:Y81"/>
    <mergeCell ref="U69:U72"/>
    <mergeCell ref="V69:V72"/>
    <mergeCell ref="W69:W72"/>
    <mergeCell ref="X69:X72"/>
    <mergeCell ref="Y69:Y72"/>
    <mergeCell ref="AA84:AA85"/>
    <mergeCell ref="Z80:Z81"/>
    <mergeCell ref="AA80:AA81"/>
    <mergeCell ref="A87:A98"/>
    <mergeCell ref="B87:C88"/>
    <mergeCell ref="D87:E88"/>
    <mergeCell ref="F87:I88"/>
    <mergeCell ref="J87:J98"/>
    <mergeCell ref="K87:K98"/>
    <mergeCell ref="B91:I94"/>
    <mergeCell ref="P82:P85"/>
    <mergeCell ref="L80:L85"/>
    <mergeCell ref="M82:M85"/>
    <mergeCell ref="A74:A85"/>
    <mergeCell ref="B74:C75"/>
    <mergeCell ref="D74:E75"/>
    <mergeCell ref="F74:I75"/>
    <mergeCell ref="P74:P77"/>
    <mergeCell ref="M78:M81"/>
    <mergeCell ref="N82:N85"/>
    <mergeCell ref="O82:O85"/>
    <mergeCell ref="J74:J85"/>
    <mergeCell ref="K74:K85"/>
    <mergeCell ref="B78:I81"/>
    <mergeCell ref="B82:I85"/>
    <mergeCell ref="O74:O77"/>
    <mergeCell ref="Q82:Q85"/>
    <mergeCell ref="R82:R85"/>
    <mergeCell ref="N78:N81"/>
    <mergeCell ref="O78:O81"/>
    <mergeCell ref="B76:C77"/>
    <mergeCell ref="D76:E77"/>
    <mergeCell ref="F76:I77"/>
    <mergeCell ref="L74:L79"/>
    <mergeCell ref="M74:M77"/>
    <mergeCell ref="N74:N77"/>
    <mergeCell ref="Z87:AA90"/>
    <mergeCell ref="B89:C90"/>
    <mergeCell ref="D89:E90"/>
    <mergeCell ref="F89:I90"/>
    <mergeCell ref="L87:L92"/>
    <mergeCell ref="M87:M90"/>
    <mergeCell ref="N87:N90"/>
    <mergeCell ref="O87:O90"/>
    <mergeCell ref="P87:P90"/>
    <mergeCell ref="P91:P94"/>
    <mergeCell ref="Q91:Q94"/>
    <mergeCell ref="AA93:AA94"/>
    <mergeCell ref="R91:R94"/>
    <mergeCell ref="Z91:Z92"/>
    <mergeCell ref="AA91:AA92"/>
    <mergeCell ref="M91:M94"/>
    <mergeCell ref="N91:N94"/>
    <mergeCell ref="O91:O94"/>
    <mergeCell ref="Q87:Q90"/>
    <mergeCell ref="R87:R90"/>
    <mergeCell ref="Z82:Z83"/>
    <mergeCell ref="AA82:AA83"/>
    <mergeCell ref="Z84:Z85"/>
    <mergeCell ref="L93:L98"/>
    <mergeCell ref="Z93:Z94"/>
    <mergeCell ref="S74:S77"/>
    <mergeCell ref="T74:T77"/>
    <mergeCell ref="U74:U77"/>
    <mergeCell ref="A100:A111"/>
    <mergeCell ref="B104:I107"/>
    <mergeCell ref="Z100:AA103"/>
    <mergeCell ref="B102:C103"/>
    <mergeCell ref="Q100:Q103"/>
    <mergeCell ref="P104:P107"/>
    <mergeCell ref="AA95:AA96"/>
    <mergeCell ref="Z97:Z98"/>
    <mergeCell ref="AA97:AA98"/>
    <mergeCell ref="P95:P98"/>
    <mergeCell ref="Q95:Q98"/>
    <mergeCell ref="R95:R98"/>
    <mergeCell ref="Z95:Z96"/>
    <mergeCell ref="B95:I98"/>
    <mergeCell ref="M95:M98"/>
    <mergeCell ref="N95:N98"/>
    <mergeCell ref="O95:O98"/>
    <mergeCell ref="M100:M103"/>
    <mergeCell ref="N100:N103"/>
    <mergeCell ref="O100:O103"/>
    <mergeCell ref="P100:P103"/>
    <mergeCell ref="O108:O111"/>
    <mergeCell ref="P108:P111"/>
    <mergeCell ref="N108:N111"/>
    <mergeCell ref="Q104:Q107"/>
    <mergeCell ref="R104:R107"/>
    <mergeCell ref="M104:M107"/>
    <mergeCell ref="N104:N107"/>
    <mergeCell ref="O104:O107"/>
    <mergeCell ref="R100:R103"/>
    <mergeCell ref="B100:C101"/>
    <mergeCell ref="J100:J111"/>
    <mergeCell ref="K100:K111"/>
    <mergeCell ref="L100:L105"/>
    <mergeCell ref="B108:I111"/>
    <mergeCell ref="Z104:Z105"/>
    <mergeCell ref="AA104:AA105"/>
    <mergeCell ref="L106:L111"/>
    <mergeCell ref="Z106:Z107"/>
    <mergeCell ref="AA106:AA107"/>
    <mergeCell ref="M108:M111"/>
    <mergeCell ref="R113:R116"/>
    <mergeCell ref="Z113:AA116"/>
    <mergeCell ref="S113:S116"/>
    <mergeCell ref="T113:T116"/>
    <mergeCell ref="U113:U116"/>
    <mergeCell ref="S104:S107"/>
    <mergeCell ref="T104:T107"/>
    <mergeCell ref="U104:U107"/>
    <mergeCell ref="V104:V107"/>
    <mergeCell ref="W104:W107"/>
    <mergeCell ref="X104:X107"/>
    <mergeCell ref="Y104:Y107"/>
    <mergeCell ref="S108:S111"/>
    <mergeCell ref="T108:T111"/>
    <mergeCell ref="U108:U111"/>
    <mergeCell ref="V108:V111"/>
    <mergeCell ref="W108:W111"/>
    <mergeCell ref="X108:X111"/>
    <mergeCell ref="Y108:Y111"/>
    <mergeCell ref="V113:V116"/>
    <mergeCell ref="W113:W116"/>
    <mergeCell ref="X113:X116"/>
    <mergeCell ref="D100:E101"/>
    <mergeCell ref="M329:M332"/>
    <mergeCell ref="N329:N332"/>
    <mergeCell ref="O329:O332"/>
    <mergeCell ref="P329:P332"/>
    <mergeCell ref="P325:P328"/>
    <mergeCell ref="O152:O155"/>
    <mergeCell ref="P152:P155"/>
    <mergeCell ref="AA158:AA159"/>
    <mergeCell ref="P160:P163"/>
    <mergeCell ref="Z121:Z122"/>
    <mergeCell ref="AA121:AA122"/>
    <mergeCell ref="Z123:Z124"/>
    <mergeCell ref="AA123:AA124"/>
    <mergeCell ref="Y134:Y137"/>
    <mergeCell ref="T134:T137"/>
    <mergeCell ref="P126:P129"/>
    <mergeCell ref="Q126:Q129"/>
    <mergeCell ref="R126:R129"/>
    <mergeCell ref="Z126:AA129"/>
    <mergeCell ref="S126:S129"/>
    <mergeCell ref="P130:P133"/>
    <mergeCell ref="Q130:Q133"/>
    <mergeCell ref="R130:R133"/>
    <mergeCell ref="U134:U137"/>
    <mergeCell ref="V134:V137"/>
    <mergeCell ref="W134:W137"/>
    <mergeCell ref="X134:X137"/>
    <mergeCell ref="Z160:Z161"/>
    <mergeCell ref="AA160:AA161"/>
    <mergeCell ref="Z162:Z163"/>
    <mergeCell ref="S143:S146"/>
    <mergeCell ref="Z130:Z131"/>
    <mergeCell ref="A325:K336"/>
    <mergeCell ref="L325:L332"/>
    <mergeCell ref="M325:M328"/>
    <mergeCell ref="N325:N328"/>
    <mergeCell ref="O325:O328"/>
    <mergeCell ref="L333:L336"/>
    <mergeCell ref="Z108:Z109"/>
    <mergeCell ref="AA108:AA109"/>
    <mergeCell ref="Z110:Z111"/>
    <mergeCell ref="AA110:AA111"/>
    <mergeCell ref="Q108:Q111"/>
    <mergeCell ref="R108:R111"/>
    <mergeCell ref="Q333:Q336"/>
    <mergeCell ref="R333:R336"/>
    <mergeCell ref="Q329:Q332"/>
    <mergeCell ref="Q325:Q328"/>
    <mergeCell ref="R325:R328"/>
    <mergeCell ref="Q152:Q155"/>
    <mergeCell ref="R152:R155"/>
    <mergeCell ref="Z152:AA155"/>
    <mergeCell ref="Z156:Z157"/>
    <mergeCell ref="AA156:AA157"/>
    <mergeCell ref="Z158:Z159"/>
    <mergeCell ref="R117:R120"/>
    <mergeCell ref="Z117:Z118"/>
    <mergeCell ref="AA117:AA118"/>
    <mergeCell ref="Z119:Z120"/>
    <mergeCell ref="AA119:AA120"/>
    <mergeCell ref="R121:R124"/>
    <mergeCell ref="M333:M336"/>
    <mergeCell ref="O333:O336"/>
    <mergeCell ref="N333:N336"/>
    <mergeCell ref="A152:A163"/>
    <mergeCell ref="B152:C153"/>
    <mergeCell ref="D152:E153"/>
    <mergeCell ref="F152:I153"/>
    <mergeCell ref="J152:J163"/>
    <mergeCell ref="K152:K163"/>
    <mergeCell ref="L152:L157"/>
    <mergeCell ref="M152:M155"/>
    <mergeCell ref="N152:N155"/>
    <mergeCell ref="B156:I159"/>
    <mergeCell ref="M156:M159"/>
    <mergeCell ref="N156:N159"/>
    <mergeCell ref="B160:I163"/>
    <mergeCell ref="O156:O159"/>
    <mergeCell ref="P156:P159"/>
    <mergeCell ref="Q156:Q159"/>
    <mergeCell ref="R156:R159"/>
    <mergeCell ref="L158:L163"/>
    <mergeCell ref="M160:M163"/>
    <mergeCell ref="N160:N163"/>
    <mergeCell ref="O160:O163"/>
    <mergeCell ref="R160:R163"/>
    <mergeCell ref="AA162:AA163"/>
    <mergeCell ref="S156:S159"/>
    <mergeCell ref="O213:O216"/>
    <mergeCell ref="P213:P216"/>
    <mergeCell ref="Q213:Q216"/>
    <mergeCell ref="R213:R216"/>
    <mergeCell ref="Z213:AA216"/>
    <mergeCell ref="S213:S216"/>
    <mergeCell ref="T213:T216"/>
    <mergeCell ref="U213:U216"/>
    <mergeCell ref="V213:V216"/>
    <mergeCell ref="W213:W216"/>
    <mergeCell ref="X213:X216"/>
    <mergeCell ref="Y213:Y216"/>
    <mergeCell ref="Q165:Q168"/>
    <mergeCell ref="R165:R168"/>
    <mergeCell ref="Z165:AA168"/>
    <mergeCell ref="S165:S168"/>
    <mergeCell ref="T165:T168"/>
    <mergeCell ref="U165:U168"/>
    <mergeCell ref="V165:V168"/>
    <mergeCell ref="AA184:AA185"/>
    <mergeCell ref="Z169:Z170"/>
    <mergeCell ref="AA169:AA170"/>
    <mergeCell ref="Z171:Z172"/>
    <mergeCell ref="AA171:AA172"/>
    <mergeCell ref="O173:O176"/>
    <mergeCell ref="P173:P176"/>
    <mergeCell ref="Q173:Q176"/>
    <mergeCell ref="R173:R176"/>
    <mergeCell ref="Z173:Z174"/>
    <mergeCell ref="AA173:AA174"/>
    <mergeCell ref="A213:A223"/>
    <mergeCell ref="J213:J223"/>
    <mergeCell ref="K213:K223"/>
    <mergeCell ref="L213:L218"/>
    <mergeCell ref="M213:M216"/>
    <mergeCell ref="N213:N216"/>
    <mergeCell ref="M217:M219"/>
    <mergeCell ref="N217:N219"/>
    <mergeCell ref="O217:O219"/>
    <mergeCell ref="P217:P219"/>
    <mergeCell ref="Q217:Q219"/>
    <mergeCell ref="Q160:Q163"/>
    <mergeCell ref="M186:M189"/>
    <mergeCell ref="N186:N189"/>
    <mergeCell ref="O186:O189"/>
    <mergeCell ref="P186:P189"/>
    <mergeCell ref="A165:A176"/>
    <mergeCell ref="B165:C166"/>
    <mergeCell ref="J165:J176"/>
    <mergeCell ref="K165:K176"/>
    <mergeCell ref="L165:L170"/>
    <mergeCell ref="M165:M168"/>
    <mergeCell ref="N165:N168"/>
    <mergeCell ref="B169:I172"/>
    <mergeCell ref="M169:M172"/>
    <mergeCell ref="N169:N172"/>
    <mergeCell ref="B173:I176"/>
    <mergeCell ref="B167:C168"/>
    <mergeCell ref="D165:I168"/>
    <mergeCell ref="L171:L176"/>
    <mergeCell ref="M173:M176"/>
    <mergeCell ref="N173:N176"/>
    <mergeCell ref="Z217:Z218"/>
    <mergeCell ref="AA217:AA218"/>
    <mergeCell ref="L219:L223"/>
    <mergeCell ref="M220:M223"/>
    <mergeCell ref="N220:N223"/>
    <mergeCell ref="O220:O223"/>
    <mergeCell ref="P220:P223"/>
    <mergeCell ref="Q220:Q223"/>
    <mergeCell ref="R220:R223"/>
    <mergeCell ref="Z220:Z221"/>
    <mergeCell ref="AA220:AA221"/>
    <mergeCell ref="Z222:Z223"/>
    <mergeCell ref="AA222:AA223"/>
    <mergeCell ref="S217:S219"/>
    <mergeCell ref="T217:T219"/>
    <mergeCell ref="U217:U219"/>
    <mergeCell ref="V217:V219"/>
    <mergeCell ref="W217:W219"/>
    <mergeCell ref="X217:X219"/>
    <mergeCell ref="Y217:Y219"/>
    <mergeCell ref="S220:S223"/>
    <mergeCell ref="T220:T223"/>
    <mergeCell ref="U220:U223"/>
    <mergeCell ref="V220:V223"/>
    <mergeCell ref="W220:W223"/>
    <mergeCell ref="X220:X223"/>
    <mergeCell ref="Y220:Y223"/>
    <mergeCell ref="R217:R219"/>
    <mergeCell ref="Z175:Z176"/>
    <mergeCell ref="AA175:AA176"/>
    <mergeCell ref="S169:S172"/>
    <mergeCell ref="B180:C181"/>
    <mergeCell ref="S178:S181"/>
    <mergeCell ref="T178:T181"/>
    <mergeCell ref="U178:U181"/>
    <mergeCell ref="V178:V181"/>
    <mergeCell ref="W178:W181"/>
    <mergeCell ref="X178:X181"/>
    <mergeCell ref="Y178:Y181"/>
    <mergeCell ref="O169:O172"/>
    <mergeCell ref="P169:P172"/>
    <mergeCell ref="Q169:Q172"/>
    <mergeCell ref="R169:R172"/>
    <mergeCell ref="S173:S176"/>
    <mergeCell ref="D180:E181"/>
    <mergeCell ref="F180:I181"/>
    <mergeCell ref="A178:A189"/>
    <mergeCell ref="B178:C179"/>
    <mergeCell ref="D178:E179"/>
    <mergeCell ref="F178:I179"/>
    <mergeCell ref="J178:J189"/>
    <mergeCell ref="K178:K189"/>
    <mergeCell ref="L178:L183"/>
    <mergeCell ref="M178:M181"/>
    <mergeCell ref="N178:N181"/>
    <mergeCell ref="B182:I185"/>
    <mergeCell ref="M182:M185"/>
    <mergeCell ref="N182:N185"/>
    <mergeCell ref="B186:I189"/>
    <mergeCell ref="L184:L189"/>
    <mergeCell ref="AA186:AA187"/>
    <mergeCell ref="Z188:Z189"/>
    <mergeCell ref="AA188:AA189"/>
    <mergeCell ref="S182:S185"/>
    <mergeCell ref="Z178:AA181"/>
    <mergeCell ref="Z182:Z183"/>
    <mergeCell ref="AA182:AA183"/>
    <mergeCell ref="O182:O185"/>
    <mergeCell ref="P182:P185"/>
    <mergeCell ref="Q182:Q185"/>
    <mergeCell ref="R182:R185"/>
    <mergeCell ref="O178:O181"/>
    <mergeCell ref="P178:P181"/>
    <mergeCell ref="Q178:Q181"/>
    <mergeCell ref="R178:R181"/>
    <mergeCell ref="S186:S189"/>
    <mergeCell ref="T186:T189"/>
    <mergeCell ref="U186:U189"/>
    <mergeCell ref="S52:S55"/>
    <mergeCell ref="T52:T55"/>
    <mergeCell ref="U52:U55"/>
    <mergeCell ref="V52:V55"/>
    <mergeCell ref="W52:W55"/>
    <mergeCell ref="X52:X55"/>
    <mergeCell ref="Y52:Y55"/>
    <mergeCell ref="S56:S59"/>
    <mergeCell ref="T56:T59"/>
    <mergeCell ref="U56:U59"/>
    <mergeCell ref="V56:V59"/>
    <mergeCell ref="X48:X51"/>
    <mergeCell ref="Y48:Y51"/>
    <mergeCell ref="O165:O168"/>
    <mergeCell ref="P165:P168"/>
    <mergeCell ref="Q186:Q189"/>
    <mergeCell ref="R186:R189"/>
    <mergeCell ref="S95:S98"/>
    <mergeCell ref="T95:T98"/>
    <mergeCell ref="U95:U98"/>
    <mergeCell ref="V95:V98"/>
    <mergeCell ref="W95:W98"/>
    <mergeCell ref="X95:X98"/>
    <mergeCell ref="Y95:Y98"/>
    <mergeCell ref="S100:S103"/>
    <mergeCell ref="T100:T103"/>
    <mergeCell ref="U100:U103"/>
    <mergeCell ref="V100:V103"/>
    <mergeCell ref="W100:W103"/>
    <mergeCell ref="X100:X103"/>
    <mergeCell ref="Y100:Y103"/>
    <mergeCell ref="S87:S90"/>
    <mergeCell ref="Z186:Z187"/>
    <mergeCell ref="Z184:Z185"/>
    <mergeCell ref="W56:W59"/>
    <mergeCell ref="X56:X59"/>
    <mergeCell ref="Y56:Y59"/>
    <mergeCell ref="S39:S42"/>
    <mergeCell ref="T39:T42"/>
    <mergeCell ref="U39:U42"/>
    <mergeCell ref="V39:V42"/>
    <mergeCell ref="W39:W42"/>
    <mergeCell ref="X39:X42"/>
    <mergeCell ref="Y39:Y42"/>
    <mergeCell ref="S44:S47"/>
    <mergeCell ref="T44:T47"/>
    <mergeCell ref="U44:U47"/>
    <mergeCell ref="V44:V47"/>
    <mergeCell ref="W44:W47"/>
    <mergeCell ref="X44:X47"/>
    <mergeCell ref="Y44:Y47"/>
    <mergeCell ref="S82:S85"/>
    <mergeCell ref="T82:T85"/>
    <mergeCell ref="U82:U85"/>
    <mergeCell ref="V82:V85"/>
    <mergeCell ref="W82:W85"/>
    <mergeCell ref="X82:X85"/>
    <mergeCell ref="Y82:Y85"/>
    <mergeCell ref="S69:S72"/>
    <mergeCell ref="T69:T72"/>
    <mergeCell ref="V74:V77"/>
    <mergeCell ref="W74:W77"/>
    <mergeCell ref="X74:X77"/>
    <mergeCell ref="Y74:Y77"/>
    <mergeCell ref="T87:T90"/>
    <mergeCell ref="U87:U90"/>
    <mergeCell ref="V87:V90"/>
    <mergeCell ref="W87:W90"/>
    <mergeCell ref="X87:X90"/>
    <mergeCell ref="Y87:Y90"/>
    <mergeCell ref="S91:S94"/>
    <mergeCell ref="T91:T94"/>
    <mergeCell ref="U91:U94"/>
    <mergeCell ref="V91:V94"/>
    <mergeCell ref="W91:W94"/>
    <mergeCell ref="X91:X94"/>
    <mergeCell ref="Y91:Y94"/>
    <mergeCell ref="T156:T159"/>
    <mergeCell ref="U156:U159"/>
    <mergeCell ref="V156:V159"/>
    <mergeCell ref="W156:W159"/>
    <mergeCell ref="X156:X159"/>
    <mergeCell ref="Y156:Y159"/>
    <mergeCell ref="Y113:Y116"/>
    <mergeCell ref="T126:T129"/>
    <mergeCell ref="U126:U129"/>
    <mergeCell ref="V126:V129"/>
    <mergeCell ref="W126:W129"/>
    <mergeCell ref="X126:X129"/>
    <mergeCell ref="Y126:Y129"/>
    <mergeCell ref="S130:S133"/>
    <mergeCell ref="T130:T133"/>
    <mergeCell ref="U130:U133"/>
    <mergeCell ref="V130:V133"/>
    <mergeCell ref="W130:W133"/>
    <mergeCell ref="X130:X133"/>
    <mergeCell ref="T117:T120"/>
    <mergeCell ref="U117:U120"/>
    <mergeCell ref="V117:V120"/>
    <mergeCell ref="W117:W120"/>
    <mergeCell ref="X117:X120"/>
    <mergeCell ref="Y117:Y120"/>
    <mergeCell ref="S121:S124"/>
    <mergeCell ref="T121:T124"/>
    <mergeCell ref="U121:U124"/>
    <mergeCell ref="V121:V124"/>
    <mergeCell ref="W121:W124"/>
    <mergeCell ref="Y121:Y124"/>
    <mergeCell ref="S117:S120"/>
    <mergeCell ref="T143:T146"/>
    <mergeCell ref="U143:U146"/>
    <mergeCell ref="V143:V146"/>
    <mergeCell ref="W143:W146"/>
    <mergeCell ref="X143:X146"/>
    <mergeCell ref="Y143:Y146"/>
    <mergeCell ref="S139:S142"/>
    <mergeCell ref="T139:T142"/>
    <mergeCell ref="U139:U142"/>
    <mergeCell ref="V139:V142"/>
    <mergeCell ref="W139:W142"/>
    <mergeCell ref="X139:X142"/>
    <mergeCell ref="Y139:Y142"/>
    <mergeCell ref="X121:X124"/>
    <mergeCell ref="T160:T163"/>
    <mergeCell ref="U160:U163"/>
    <mergeCell ref="V160:V163"/>
    <mergeCell ref="W160:W163"/>
    <mergeCell ref="X160:X163"/>
    <mergeCell ref="Y160:Y163"/>
    <mergeCell ref="Y130:Y133"/>
    <mergeCell ref="S152:S155"/>
    <mergeCell ref="T152:T155"/>
    <mergeCell ref="U152:U155"/>
    <mergeCell ref="V152:V155"/>
    <mergeCell ref="W152:W155"/>
    <mergeCell ref="X152:X155"/>
    <mergeCell ref="Y152:Y155"/>
    <mergeCell ref="S160:S163"/>
    <mergeCell ref="W165:W168"/>
    <mergeCell ref="X165:X168"/>
    <mergeCell ref="Y165:Y168"/>
    <mergeCell ref="P333:P336"/>
    <mergeCell ref="R329:R332"/>
    <mergeCell ref="W290:W293"/>
    <mergeCell ref="X290:X293"/>
    <mergeCell ref="Y290:Y293"/>
    <mergeCell ref="S294:S297"/>
    <mergeCell ref="T294:T297"/>
    <mergeCell ref="U294:U297"/>
    <mergeCell ref="T182:T185"/>
    <mergeCell ref="U182:U185"/>
    <mergeCell ref="V182:V185"/>
    <mergeCell ref="W182:W185"/>
    <mergeCell ref="X182:X185"/>
    <mergeCell ref="Y182:Y185"/>
    <mergeCell ref="Y186:Y189"/>
    <mergeCell ref="T169:T172"/>
    <mergeCell ref="U169:U172"/>
    <mergeCell ref="V169:V172"/>
    <mergeCell ref="W169:W172"/>
    <mergeCell ref="X169:X172"/>
    <mergeCell ref="Y169:Y172"/>
    <mergeCell ref="T173:T176"/>
    <mergeCell ref="U173:U176"/>
    <mergeCell ref="V173:V176"/>
    <mergeCell ref="W173:W176"/>
    <mergeCell ref="X173:X176"/>
    <mergeCell ref="Y173:Y176"/>
    <mergeCell ref="V186:V189"/>
    <mergeCell ref="W186:W189"/>
    <mergeCell ref="X186:X189"/>
    <mergeCell ref="T298:T301"/>
    <mergeCell ref="S333:S336"/>
    <mergeCell ref="T333:T336"/>
    <mergeCell ref="U333:U336"/>
    <mergeCell ref="V333:V336"/>
    <mergeCell ref="W333:W336"/>
    <mergeCell ref="X333:X336"/>
    <mergeCell ref="Y333:Y336"/>
    <mergeCell ref="S325:S328"/>
    <mergeCell ref="T325:T328"/>
    <mergeCell ref="U325:U328"/>
    <mergeCell ref="V325:V328"/>
    <mergeCell ref="W325:W328"/>
    <mergeCell ref="X325:X328"/>
    <mergeCell ref="Y325:Y328"/>
    <mergeCell ref="S329:S332"/>
    <mergeCell ref="T329:T332"/>
    <mergeCell ref="U329:U332"/>
    <mergeCell ref="V329:V332"/>
    <mergeCell ref="W329:W332"/>
    <mergeCell ref="X329:X332"/>
    <mergeCell ref="Y329:Y332"/>
    <mergeCell ref="Z197:Z198"/>
    <mergeCell ref="AA197:AA198"/>
    <mergeCell ref="B199:I202"/>
    <mergeCell ref="M199:M202"/>
    <mergeCell ref="V199:V202"/>
    <mergeCell ref="W199:W202"/>
    <mergeCell ref="X199:X202"/>
    <mergeCell ref="Y199:Y202"/>
    <mergeCell ref="A191:A202"/>
    <mergeCell ref="B191:C192"/>
    <mergeCell ref="D191:E192"/>
    <mergeCell ref="F191:I192"/>
    <mergeCell ref="J191:J202"/>
    <mergeCell ref="K191:K202"/>
    <mergeCell ref="L191:L196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P199:P202"/>
    <mergeCell ref="Q199:Q202"/>
    <mergeCell ref="R199:R202"/>
    <mergeCell ref="S199:S202"/>
    <mergeCell ref="T199:T202"/>
    <mergeCell ref="U199:U202"/>
    <mergeCell ref="N199:N202"/>
    <mergeCell ref="O199:O202"/>
    <mergeCell ref="M208:M211"/>
    <mergeCell ref="O208:O211"/>
    <mergeCell ref="P208:P211"/>
    <mergeCell ref="Q208:Q211"/>
    <mergeCell ref="N208:N211"/>
    <mergeCell ref="S208:S211"/>
    <mergeCell ref="T208:T211"/>
    <mergeCell ref="U208:U211"/>
    <mergeCell ref="V191:V194"/>
    <mergeCell ref="W191:W194"/>
    <mergeCell ref="X191:X194"/>
    <mergeCell ref="Z191:AA194"/>
    <mergeCell ref="B193:C194"/>
    <mergeCell ref="D193:E194"/>
    <mergeCell ref="F193:I194"/>
    <mergeCell ref="B195:I198"/>
    <mergeCell ref="M195:M198"/>
    <mergeCell ref="N195:N198"/>
    <mergeCell ref="O195:O198"/>
    <mergeCell ref="P195:P198"/>
    <mergeCell ref="Q195:Q198"/>
    <mergeCell ref="R195:R198"/>
    <mergeCell ref="S195:S198"/>
    <mergeCell ref="T195:T198"/>
    <mergeCell ref="U195:U198"/>
    <mergeCell ref="V195:V198"/>
    <mergeCell ref="W195:W198"/>
    <mergeCell ref="X195:X198"/>
    <mergeCell ref="Y195:Y198"/>
    <mergeCell ref="Z195:Z196"/>
    <mergeCell ref="AA195:AA196"/>
    <mergeCell ref="L197:L202"/>
    <mergeCell ref="W208:W211"/>
    <mergeCell ref="X208:X211"/>
    <mergeCell ref="Y208:Y211"/>
    <mergeCell ref="Z208:Z209"/>
    <mergeCell ref="AA208:AA209"/>
    <mergeCell ref="L209:L211"/>
    <mergeCell ref="Z210:Z211"/>
    <mergeCell ref="AA210:AA211"/>
    <mergeCell ref="R208:R211"/>
    <mergeCell ref="Y191:Y194"/>
    <mergeCell ref="Z199:Z200"/>
    <mergeCell ref="AA199:AA200"/>
    <mergeCell ref="Z201:Z202"/>
    <mergeCell ref="AA201:AA202"/>
    <mergeCell ref="A204:A211"/>
    <mergeCell ref="J204:J211"/>
    <mergeCell ref="K204:K211"/>
    <mergeCell ref="L204:L208"/>
    <mergeCell ref="M204:M207"/>
    <mergeCell ref="N204:N207"/>
    <mergeCell ref="O204:O207"/>
    <mergeCell ref="P204:P207"/>
    <mergeCell ref="Q204:Q207"/>
    <mergeCell ref="R204:R207"/>
    <mergeCell ref="S204:S207"/>
    <mergeCell ref="T204:T207"/>
    <mergeCell ref="U204:U207"/>
    <mergeCell ref="V204:V207"/>
    <mergeCell ref="W204:W207"/>
    <mergeCell ref="X204:X207"/>
    <mergeCell ref="Y204:Y207"/>
    <mergeCell ref="Z204:AA207"/>
    <mergeCell ref="A264:A275"/>
    <mergeCell ref="B264:C265"/>
    <mergeCell ref="D264:E265"/>
    <mergeCell ref="F264:I265"/>
    <mergeCell ref="J264:J275"/>
    <mergeCell ref="K264:K275"/>
    <mergeCell ref="L264:L269"/>
    <mergeCell ref="M264:M267"/>
    <mergeCell ref="N264:N267"/>
    <mergeCell ref="O264:O267"/>
    <mergeCell ref="P264:P267"/>
    <mergeCell ref="Q264:Q267"/>
    <mergeCell ref="B272:I275"/>
    <mergeCell ref="M272:M275"/>
    <mergeCell ref="N272:N275"/>
    <mergeCell ref="O272:O275"/>
    <mergeCell ref="P272:P275"/>
    <mergeCell ref="Q272:Q275"/>
    <mergeCell ref="Z264:AA267"/>
    <mergeCell ref="B266:C267"/>
    <mergeCell ref="D266:E267"/>
    <mergeCell ref="F266:I267"/>
    <mergeCell ref="B268:I271"/>
    <mergeCell ref="M268:M271"/>
    <mergeCell ref="N268:N271"/>
    <mergeCell ref="O268:O271"/>
    <mergeCell ref="P268:P271"/>
    <mergeCell ref="Q268:Q271"/>
    <mergeCell ref="R268:R271"/>
    <mergeCell ref="S268:S271"/>
    <mergeCell ref="T268:T271"/>
    <mergeCell ref="U268:U271"/>
    <mergeCell ref="V268:V271"/>
    <mergeCell ref="W268:W271"/>
    <mergeCell ref="X268:X271"/>
    <mergeCell ref="Y268:Y271"/>
    <mergeCell ref="Z268:Z269"/>
    <mergeCell ref="AA268:AA269"/>
    <mergeCell ref="L270:L275"/>
    <mergeCell ref="Z270:Z271"/>
    <mergeCell ref="AA270:AA271"/>
    <mergeCell ref="R272:R275"/>
    <mergeCell ref="S272:S275"/>
    <mergeCell ref="T272:T275"/>
    <mergeCell ref="U272:U275"/>
    <mergeCell ref="V272:V275"/>
    <mergeCell ref="W272:W275"/>
    <mergeCell ref="X272:X275"/>
    <mergeCell ref="Y272:Y275"/>
    <mergeCell ref="Q281:Q284"/>
    <mergeCell ref="R264:R267"/>
    <mergeCell ref="S264:S267"/>
    <mergeCell ref="T264:T267"/>
    <mergeCell ref="U264:U267"/>
    <mergeCell ref="V264:V267"/>
    <mergeCell ref="W264:W267"/>
    <mergeCell ref="X264:X267"/>
    <mergeCell ref="Y264:Y267"/>
    <mergeCell ref="T285:T288"/>
    <mergeCell ref="U285:U288"/>
    <mergeCell ref="V285:V288"/>
    <mergeCell ref="W285:W288"/>
    <mergeCell ref="X285:X288"/>
    <mergeCell ref="W281:W284"/>
    <mergeCell ref="X281:X284"/>
    <mergeCell ref="Y281:Y284"/>
    <mergeCell ref="A277:A288"/>
    <mergeCell ref="B277:C278"/>
    <mergeCell ref="D277:E278"/>
    <mergeCell ref="F277:I278"/>
    <mergeCell ref="J277:J288"/>
    <mergeCell ref="K277:K288"/>
    <mergeCell ref="L277:L282"/>
    <mergeCell ref="M277:M280"/>
    <mergeCell ref="N277:N280"/>
    <mergeCell ref="O277:O280"/>
    <mergeCell ref="P277:P280"/>
    <mergeCell ref="Q277:Q280"/>
    <mergeCell ref="R277:R280"/>
    <mergeCell ref="S277:S280"/>
    <mergeCell ref="T277:T280"/>
    <mergeCell ref="U277:U280"/>
    <mergeCell ref="O285:O288"/>
    <mergeCell ref="P285:P288"/>
    <mergeCell ref="Q285:Q288"/>
    <mergeCell ref="R285:R288"/>
    <mergeCell ref="B279:C280"/>
    <mergeCell ref="D279:E280"/>
    <mergeCell ref="F279:I280"/>
    <mergeCell ref="B281:I284"/>
    <mergeCell ref="M281:M284"/>
    <mergeCell ref="L283:L288"/>
    <mergeCell ref="B285:I288"/>
    <mergeCell ref="M285:M288"/>
    <mergeCell ref="N285:N288"/>
    <mergeCell ref="N281:N284"/>
    <mergeCell ref="O281:O284"/>
    <mergeCell ref="P281:P284"/>
    <mergeCell ref="Z325:AA336"/>
    <mergeCell ref="Z272:Z273"/>
    <mergeCell ref="AA272:AA273"/>
    <mergeCell ref="Z274:Z275"/>
    <mergeCell ref="AA274:AA275"/>
    <mergeCell ref="V277:V280"/>
    <mergeCell ref="W277:W280"/>
    <mergeCell ref="X277:X280"/>
    <mergeCell ref="Y285:Y288"/>
    <mergeCell ref="Z285:Z286"/>
    <mergeCell ref="AA285:AA286"/>
    <mergeCell ref="Z287:Z288"/>
    <mergeCell ref="AA287:AA288"/>
    <mergeCell ref="Z277:AA280"/>
    <mergeCell ref="R281:R284"/>
    <mergeCell ref="S281:S284"/>
    <mergeCell ref="T281:T284"/>
    <mergeCell ref="U281:U284"/>
    <mergeCell ref="V281:V284"/>
    <mergeCell ref="Z281:Z282"/>
    <mergeCell ref="AA281:AA282"/>
    <mergeCell ref="Z283:Z284"/>
    <mergeCell ref="AA283:AA284"/>
    <mergeCell ref="Y277:Y280"/>
    <mergeCell ref="S285:S288"/>
    <mergeCell ref="Z290:AA293"/>
    <mergeCell ref="V294:V297"/>
    <mergeCell ref="W294:W297"/>
    <mergeCell ref="X294:X297"/>
    <mergeCell ref="Y294:Y297"/>
    <mergeCell ref="Z294:Z295"/>
    <mergeCell ref="AA294:AA295"/>
    <mergeCell ref="T233:T236"/>
    <mergeCell ref="U233:U236"/>
    <mergeCell ref="V233:V236"/>
    <mergeCell ref="D102:E103"/>
    <mergeCell ref="F100:I101"/>
    <mergeCell ref="F102:I103"/>
    <mergeCell ref="B213:C213"/>
    <mergeCell ref="D213:E213"/>
    <mergeCell ref="F213:I213"/>
    <mergeCell ref="B214:C214"/>
    <mergeCell ref="D214:E214"/>
    <mergeCell ref="F214:I214"/>
    <mergeCell ref="B215:I216"/>
    <mergeCell ref="B217:I223"/>
    <mergeCell ref="B204:C204"/>
    <mergeCell ref="D204:E204"/>
    <mergeCell ref="F204:I204"/>
    <mergeCell ref="B205:C205"/>
    <mergeCell ref="D205:E205"/>
    <mergeCell ref="F205:I205"/>
    <mergeCell ref="B206:I207"/>
    <mergeCell ref="B154:C155"/>
    <mergeCell ref="D154:E155"/>
    <mergeCell ref="F154:I155"/>
    <mergeCell ref="B128:C129"/>
    <mergeCell ref="D128:E129"/>
    <mergeCell ref="F128:I129"/>
    <mergeCell ref="B126:C127"/>
    <mergeCell ref="D126:E127"/>
    <mergeCell ref="F126:I127"/>
    <mergeCell ref="V208:V211"/>
    <mergeCell ref="B208:I211"/>
    <mergeCell ref="X229:X232"/>
    <mergeCell ref="Y229:Y232"/>
    <mergeCell ref="Z229:Z230"/>
    <mergeCell ref="AA229:AA230"/>
    <mergeCell ref="L231:L236"/>
    <mergeCell ref="Z231:Z232"/>
    <mergeCell ref="AA231:AA232"/>
    <mergeCell ref="B233:I236"/>
    <mergeCell ref="M233:M236"/>
    <mergeCell ref="N233:N236"/>
    <mergeCell ref="O233:O236"/>
    <mergeCell ref="P233:P236"/>
    <mergeCell ref="Q233:Q236"/>
    <mergeCell ref="A225:A236"/>
    <mergeCell ref="B225:C226"/>
    <mergeCell ref="D225:E226"/>
    <mergeCell ref="F225:I226"/>
    <mergeCell ref="J225:J236"/>
    <mergeCell ref="K225:K236"/>
    <mergeCell ref="L225:L230"/>
    <mergeCell ref="M225:M228"/>
    <mergeCell ref="N225:N228"/>
    <mergeCell ref="O225:O228"/>
    <mergeCell ref="P225:P228"/>
    <mergeCell ref="Q225:Q228"/>
    <mergeCell ref="R225:R228"/>
    <mergeCell ref="S225:S228"/>
    <mergeCell ref="T225:T228"/>
    <mergeCell ref="U225:U228"/>
    <mergeCell ref="V225:V228"/>
    <mergeCell ref="R233:R236"/>
    <mergeCell ref="S233:S236"/>
    <mergeCell ref="F253:I254"/>
    <mergeCell ref="B255:I258"/>
    <mergeCell ref="S255:S258"/>
    <mergeCell ref="T255:T258"/>
    <mergeCell ref="U255:U258"/>
    <mergeCell ref="V255:V258"/>
    <mergeCell ref="B259:I262"/>
    <mergeCell ref="M259:M262"/>
    <mergeCell ref="N259:N262"/>
    <mergeCell ref="O259:O262"/>
    <mergeCell ref="P259:P262"/>
    <mergeCell ref="Q259:Q262"/>
    <mergeCell ref="R259:R262"/>
    <mergeCell ref="W225:W228"/>
    <mergeCell ref="X225:X228"/>
    <mergeCell ref="Y225:Y228"/>
    <mergeCell ref="Z225:AA228"/>
    <mergeCell ref="B227:C228"/>
    <mergeCell ref="D227:E228"/>
    <mergeCell ref="F227:I228"/>
    <mergeCell ref="B229:I232"/>
    <mergeCell ref="M229:M232"/>
    <mergeCell ref="N229:N232"/>
    <mergeCell ref="O229:O232"/>
    <mergeCell ref="P229:P232"/>
    <mergeCell ref="Q229:Q232"/>
    <mergeCell ref="R229:R232"/>
    <mergeCell ref="S229:S232"/>
    <mergeCell ref="T229:T232"/>
    <mergeCell ref="U229:U232"/>
    <mergeCell ref="V229:V232"/>
    <mergeCell ref="W229:W232"/>
    <mergeCell ref="W233:W236"/>
    <mergeCell ref="X233:X236"/>
    <mergeCell ref="Y233:Y236"/>
    <mergeCell ref="Z233:Z234"/>
    <mergeCell ref="AA233:AA234"/>
    <mergeCell ref="Z235:Z236"/>
    <mergeCell ref="AA235:AA236"/>
    <mergeCell ref="W251:W254"/>
    <mergeCell ref="X251:X254"/>
    <mergeCell ref="Y251:Y254"/>
    <mergeCell ref="Z251:AA254"/>
    <mergeCell ref="Z242:Z243"/>
    <mergeCell ref="AA242:AA243"/>
    <mergeCell ref="A251:A262"/>
    <mergeCell ref="B251:C252"/>
    <mergeCell ref="D251:E252"/>
    <mergeCell ref="F251:I252"/>
    <mergeCell ref="J251:J262"/>
    <mergeCell ref="K251:K262"/>
    <mergeCell ref="L251:L256"/>
    <mergeCell ref="M251:M254"/>
    <mergeCell ref="N251:N254"/>
    <mergeCell ref="O251:O254"/>
    <mergeCell ref="P251:P254"/>
    <mergeCell ref="Q251:Q254"/>
    <mergeCell ref="R251:R254"/>
    <mergeCell ref="S251:S254"/>
    <mergeCell ref="T251:T254"/>
    <mergeCell ref="U251:U254"/>
    <mergeCell ref="V251:V254"/>
    <mergeCell ref="B253:C254"/>
    <mergeCell ref="D253:E254"/>
    <mergeCell ref="L257:L262"/>
    <mergeCell ref="N246:N249"/>
    <mergeCell ref="O246:O249"/>
    <mergeCell ref="P246:P249"/>
    <mergeCell ref="Q246:Q249"/>
    <mergeCell ref="L244:L249"/>
    <mergeCell ref="Z259:Z260"/>
    <mergeCell ref="AA259:AA260"/>
    <mergeCell ref="Z261:Z262"/>
    <mergeCell ref="AA261:AA262"/>
    <mergeCell ref="M255:M258"/>
    <mergeCell ref="N255:N258"/>
    <mergeCell ref="O255:O258"/>
    <mergeCell ref="P255:P258"/>
    <mergeCell ref="Q255:Q258"/>
    <mergeCell ref="R255:R258"/>
    <mergeCell ref="P242:P245"/>
    <mergeCell ref="Q242:Q245"/>
    <mergeCell ref="R242:R245"/>
    <mergeCell ref="S242:S245"/>
    <mergeCell ref="Z244:Z245"/>
    <mergeCell ref="AA244:AA245"/>
    <mergeCell ref="W255:W258"/>
    <mergeCell ref="X255:X258"/>
    <mergeCell ref="Y255:Y258"/>
    <mergeCell ref="Z255:Z256"/>
    <mergeCell ref="AA255:AA256"/>
    <mergeCell ref="Z257:Z258"/>
    <mergeCell ref="AA257:AA258"/>
    <mergeCell ref="U238:U241"/>
    <mergeCell ref="V238:V241"/>
    <mergeCell ref="R246:R249"/>
    <mergeCell ref="S246:S249"/>
    <mergeCell ref="T246:T249"/>
    <mergeCell ref="U246:U249"/>
    <mergeCell ref="V246:V249"/>
    <mergeCell ref="W246:W249"/>
    <mergeCell ref="X246:X249"/>
    <mergeCell ref="Y246:Y249"/>
    <mergeCell ref="T242:T245"/>
    <mergeCell ref="U242:U245"/>
    <mergeCell ref="V242:V245"/>
    <mergeCell ref="W242:W245"/>
    <mergeCell ref="X242:X245"/>
    <mergeCell ref="Y242:Y245"/>
    <mergeCell ref="S259:S262"/>
    <mergeCell ref="T259:T262"/>
    <mergeCell ref="U259:U262"/>
    <mergeCell ref="V259:V262"/>
    <mergeCell ref="W259:W262"/>
    <mergeCell ref="X259:X262"/>
    <mergeCell ref="Y259:Y262"/>
    <mergeCell ref="B246:I249"/>
    <mergeCell ref="M246:M249"/>
    <mergeCell ref="A238:A249"/>
    <mergeCell ref="B238:C239"/>
    <mergeCell ref="D238:E239"/>
    <mergeCell ref="F238:I239"/>
    <mergeCell ref="J238:J249"/>
    <mergeCell ref="K238:K249"/>
    <mergeCell ref="L238:L243"/>
    <mergeCell ref="M238:M241"/>
    <mergeCell ref="N238:N241"/>
    <mergeCell ref="O238:O241"/>
    <mergeCell ref="P238:P241"/>
    <mergeCell ref="Q238:Q241"/>
    <mergeCell ref="R238:R241"/>
    <mergeCell ref="Z246:Z247"/>
    <mergeCell ref="AA246:AA247"/>
    <mergeCell ref="Z248:Z249"/>
    <mergeCell ref="AA248:AA249"/>
    <mergeCell ref="W238:W241"/>
    <mergeCell ref="X238:X241"/>
    <mergeCell ref="Y238:Y241"/>
    <mergeCell ref="Z238:AA241"/>
    <mergeCell ref="B240:C241"/>
    <mergeCell ref="D240:E241"/>
    <mergeCell ref="F240:I241"/>
    <mergeCell ref="B242:I245"/>
    <mergeCell ref="M242:M245"/>
    <mergeCell ref="N242:N245"/>
    <mergeCell ref="O242:O245"/>
    <mergeCell ref="S238:S241"/>
    <mergeCell ref="T238:T241"/>
  </mergeCells>
  <pageMargins left="0.55118110236220474" right="0.43307086614173229" top="0.59055118110236227" bottom="0.27559055118110237" header="0.31496062992125984" footer="0.31496062992125984"/>
  <pageSetup paperSize="8" scale="70" orientation="portrait" copies="3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/>
  <dimension ref="A1:BA177"/>
  <sheetViews>
    <sheetView view="pageBreakPreview" workbookViewId="0">
      <selection activeCell="AA3" sqref="AA3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44583.636363636375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44583.64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44583.64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44583.64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44583.64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44583.64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44583.64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44583.64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44583.64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44583.64</v>
      </c>
      <c r="U13" s="2284"/>
      <c r="V13" s="2284"/>
      <c r="W13" s="2284"/>
    </row>
    <row r="14" spans="1:27" ht="14.1" customHeight="1">
      <c r="A14" s="2280">
        <v>11</v>
      </c>
      <c r="B14" s="2281"/>
      <c r="C14" s="2281"/>
      <c r="D14" s="2294">
        <f t="shared" si="0"/>
        <v>2014</v>
      </c>
      <c r="E14" s="2295"/>
      <c r="F14" s="2295"/>
      <c r="G14" s="2296"/>
      <c r="H14" s="2275" t="s">
        <v>305</v>
      </c>
      <c r="I14" s="2275"/>
      <c r="J14" s="2275"/>
      <c r="K14" s="2275"/>
      <c r="L14" s="2275"/>
      <c r="M14" s="2275"/>
      <c r="N14" s="2275"/>
      <c r="O14" s="2275"/>
      <c r="P14" s="2282">
        <f>'HSZ do groszy'!K46</f>
        <v>0</v>
      </c>
      <c r="Q14" s="2283"/>
      <c r="R14" s="2283"/>
      <c r="S14" s="2283"/>
      <c r="T14" s="2284">
        <f>ROUND(IPMT(($AA$3%+0.35%)/11,1,$D$171-$D$4+1,$P$172-(SUM($P$4:P13)))*-1,2)</f>
        <v>44583.64</v>
      </c>
      <c r="U14" s="2284"/>
      <c r="V14" s="2284"/>
      <c r="W14" s="2284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44583.64</v>
      </c>
      <c r="U15" s="2284"/>
      <c r="V15" s="2284"/>
      <c r="W15" s="2284"/>
      <c r="Y15" s="472">
        <f>SUM(T4:W15)</f>
        <v>535003.67636363651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44583.64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44583.64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44583.64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44583.64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44583.64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44583.64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44583.64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44583.64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44583.64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44583.64</v>
      </c>
      <c r="U25" s="2284"/>
      <c r="V25" s="2284"/>
      <c r="W25" s="2284"/>
      <c r="Y25" s="469"/>
      <c r="Z25" s="469"/>
    </row>
    <row r="26" spans="1:26" ht="14.1" customHeight="1">
      <c r="A26" s="2280">
        <v>23</v>
      </c>
      <c r="B26" s="2281"/>
      <c r="C26" s="2281"/>
      <c r="D26" s="2275">
        <f t="shared" si="1"/>
        <v>2015</v>
      </c>
      <c r="E26" s="2275"/>
      <c r="F26" s="2275"/>
      <c r="G26" s="2275"/>
      <c r="H26" s="2275" t="s">
        <v>305</v>
      </c>
      <c r="I26" s="2275"/>
      <c r="J26" s="2275"/>
      <c r="K26" s="2275"/>
      <c r="L26" s="2275"/>
      <c r="M26" s="2275"/>
      <c r="N26" s="2275"/>
      <c r="O26" s="2275"/>
      <c r="P26" s="2282">
        <f>'HSZ do groszy'!M46</f>
        <v>0</v>
      </c>
      <c r="Q26" s="2283"/>
      <c r="R26" s="2283"/>
      <c r="S26" s="2283"/>
      <c r="T26" s="2284">
        <f>ROUND(IPMT(($AA$3%+0.35%)/11,1,$D$171-$D$16+1,$P$172-(SUM($P$4:P25)))*-1,2)</f>
        <v>44583.64</v>
      </c>
      <c r="U26" s="2284"/>
      <c r="V26" s="2284"/>
      <c r="W26" s="2284"/>
      <c r="Y26" s="469"/>
      <c r="Z26" s="469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44583.64</v>
      </c>
      <c r="U27" s="2284"/>
      <c r="V27" s="2284"/>
      <c r="W27" s="2284"/>
      <c r="Y27" s="472">
        <f>SUM(T16:W27)</f>
        <v>535003.68000000005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44583.64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44583.64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44583.64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44583.64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44583.64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44583.64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44583.64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44583.64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44583.64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44583.64</v>
      </c>
      <c r="U37" s="2284"/>
      <c r="V37" s="2284"/>
      <c r="W37" s="2284"/>
      <c r="Y37" s="469"/>
      <c r="Z37" s="469"/>
    </row>
    <row r="38" spans="1:26" ht="14.1" customHeight="1">
      <c r="A38" s="2280">
        <v>35</v>
      </c>
      <c r="B38" s="2281"/>
      <c r="C38" s="2281"/>
      <c r="D38" s="2275">
        <f t="shared" si="2"/>
        <v>2016</v>
      </c>
      <c r="E38" s="2275"/>
      <c r="F38" s="2275"/>
      <c r="G38" s="2275"/>
      <c r="H38" s="2275" t="s">
        <v>305</v>
      </c>
      <c r="I38" s="2275"/>
      <c r="J38" s="2275"/>
      <c r="K38" s="2275"/>
      <c r="L38" s="2275"/>
      <c r="M38" s="2275"/>
      <c r="N38" s="2275"/>
      <c r="O38" s="2275"/>
      <c r="P38" s="2282">
        <f>'HSZ do groszy'!O46</f>
        <v>0</v>
      </c>
      <c r="Q38" s="2283"/>
      <c r="R38" s="2283"/>
      <c r="S38" s="2283"/>
      <c r="T38" s="2284">
        <f>ROUND(IPMT(($AA$3%+0.35%)/11,1,$D$171-$D$28+1,$P$172-(SUM($P$4:P37)))*-1,2)</f>
        <v>44583.64</v>
      </c>
      <c r="U38" s="2284"/>
      <c r="V38" s="2284"/>
      <c r="W38" s="2284"/>
      <c r="Y38" s="469"/>
      <c r="Z38" s="469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44583.64</v>
      </c>
      <c r="U39" s="2284"/>
      <c r="V39" s="2284"/>
      <c r="W39" s="2284"/>
      <c r="Y39" s="472">
        <f>SUM(T28:W39)</f>
        <v>535003.68000000005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44583.64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44583.64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44583.64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44583.64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44583.64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44583.64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44583.64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44583.64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44583.64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44583.64</v>
      </c>
      <c r="U49" s="2284"/>
      <c r="V49" s="2284"/>
      <c r="W49" s="2284"/>
      <c r="Y49" s="469"/>
      <c r="Z49" s="469"/>
    </row>
    <row r="50" spans="1:26" ht="14.1" customHeight="1">
      <c r="A50" s="2280">
        <v>47</v>
      </c>
      <c r="B50" s="2281"/>
      <c r="C50" s="2281"/>
      <c r="D50" s="2275">
        <f t="shared" si="3"/>
        <v>2017</v>
      </c>
      <c r="E50" s="2275"/>
      <c r="F50" s="2275"/>
      <c r="G50" s="2275"/>
      <c r="H50" s="2275" t="s">
        <v>305</v>
      </c>
      <c r="I50" s="2275"/>
      <c r="J50" s="2275"/>
      <c r="K50" s="2275"/>
      <c r="L50" s="2275"/>
      <c r="M50" s="2275"/>
      <c r="N50" s="2275"/>
      <c r="O50" s="2275"/>
      <c r="P50" s="2282">
        <f>'HSZ do groszy'!Q46</f>
        <v>0</v>
      </c>
      <c r="Q50" s="2283"/>
      <c r="R50" s="2283"/>
      <c r="S50" s="2283"/>
      <c r="T50" s="2284">
        <f>ROUND(IPMT(($AA$3%+0.35%)/11,1,$D$171-$D$40+1,$P$172-(SUM($P$4:P49)))*-1,2)</f>
        <v>44583.64</v>
      </c>
      <c r="U50" s="2284"/>
      <c r="V50" s="2284"/>
      <c r="W50" s="2284"/>
      <c r="Y50" s="469"/>
      <c r="Z50" s="469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44583.64</v>
      </c>
      <c r="U51" s="2284"/>
      <c r="V51" s="2284"/>
      <c r="W51" s="2284"/>
      <c r="Y51" s="472">
        <f>SUM(T40:W51)</f>
        <v>535003.68000000005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44583.64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44583.64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44583.64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44583.64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44583.64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44583.64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44583.64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44583.64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44583.64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44583.64</v>
      </c>
      <c r="U61" s="2284"/>
      <c r="V61" s="2284"/>
      <c r="W61" s="2284"/>
      <c r="Y61" s="469"/>
      <c r="Z61" s="469"/>
    </row>
    <row r="62" spans="1:26" ht="14.1" customHeight="1">
      <c r="A62" s="2280">
        <v>59</v>
      </c>
      <c r="B62" s="2281"/>
      <c r="C62" s="2281"/>
      <c r="D62" s="2275">
        <f t="shared" si="4"/>
        <v>2018</v>
      </c>
      <c r="E62" s="2275"/>
      <c r="F62" s="2275"/>
      <c r="G62" s="2275"/>
      <c r="H62" s="2275" t="s">
        <v>305</v>
      </c>
      <c r="I62" s="2275"/>
      <c r="J62" s="2275"/>
      <c r="K62" s="2275"/>
      <c r="L62" s="2275"/>
      <c r="M62" s="2275"/>
      <c r="N62" s="2275"/>
      <c r="O62" s="2275"/>
      <c r="P62" s="2282">
        <f>'HSZ do groszy'!S46</f>
        <v>0</v>
      </c>
      <c r="Q62" s="2283"/>
      <c r="R62" s="2283"/>
      <c r="S62" s="2283"/>
      <c r="T62" s="2284">
        <f>ROUND(IPMT(($AA$3%+0.35%)/11,1,$D$171-$D$52+1,$P$172-(SUM($P$4:P61)))*-1,2)</f>
        <v>44583.64</v>
      </c>
      <c r="U62" s="2284"/>
      <c r="V62" s="2284"/>
      <c r="W62" s="2284"/>
      <c r="Y62" s="469"/>
      <c r="Z62" s="469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44583.64</v>
      </c>
      <c r="U63" s="2284"/>
      <c r="V63" s="2284"/>
      <c r="W63" s="2284"/>
      <c r="Y63" s="472">
        <f>SUM(T52:W63)</f>
        <v>535003.68000000005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44583.64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44583.64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44583.64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44583.64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44583.64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44583.64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44583.64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44583.64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44583.64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44583.64</v>
      </c>
      <c r="U73" s="2284"/>
      <c r="V73" s="2284"/>
      <c r="W73" s="2284"/>
      <c r="Y73" s="469"/>
      <c r="Z73" s="469"/>
    </row>
    <row r="74" spans="1:26" ht="14.1" customHeight="1">
      <c r="A74" s="2280">
        <v>23</v>
      </c>
      <c r="B74" s="2281"/>
      <c r="C74" s="2281"/>
      <c r="D74" s="2275">
        <f t="shared" si="5"/>
        <v>2019</v>
      </c>
      <c r="E74" s="2275"/>
      <c r="F74" s="2275"/>
      <c r="G74" s="2275"/>
      <c r="H74" s="2275" t="s">
        <v>305</v>
      </c>
      <c r="I74" s="2275"/>
      <c r="J74" s="2275"/>
      <c r="K74" s="2275"/>
      <c r="L74" s="2275"/>
      <c r="M74" s="2275"/>
      <c r="N74" s="2275"/>
      <c r="O74" s="2275"/>
      <c r="P74" s="2282">
        <f>'HSZ do groszy'!U46</f>
        <v>0</v>
      </c>
      <c r="Q74" s="2283"/>
      <c r="R74" s="2283"/>
      <c r="S74" s="2283"/>
      <c r="T74" s="2284">
        <f>ROUND(IPMT(($AA$3%+0.35%)/11,1,$D$171-$D$64+1,$P$172-(SUM($P$4:P73)))*-1,2)</f>
        <v>44583.64</v>
      </c>
      <c r="U74" s="2284"/>
      <c r="V74" s="2284"/>
      <c r="W74" s="2284"/>
      <c r="Y74" s="469"/>
      <c r="Z74" s="469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44583.64</v>
      </c>
      <c r="U75" s="2284"/>
      <c r="V75" s="2284"/>
      <c r="W75" s="2284"/>
      <c r="Y75" s="472">
        <f>SUM(T64:W75)</f>
        <v>535003.68000000005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44583.64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44583.64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44583.64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44583.64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44583.64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44583.64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44583.64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44583.64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44583.64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44583.64</v>
      </c>
      <c r="U85" s="2284"/>
      <c r="V85" s="2284"/>
      <c r="W85" s="2284"/>
      <c r="Y85" s="469"/>
      <c r="Z85" s="469"/>
    </row>
    <row r="86" spans="1:26" ht="14.1" customHeight="1">
      <c r="A86" s="2280">
        <v>23</v>
      </c>
      <c r="B86" s="2281"/>
      <c r="C86" s="2281"/>
      <c r="D86" s="2275">
        <f t="shared" si="6"/>
        <v>2020</v>
      </c>
      <c r="E86" s="2275"/>
      <c r="F86" s="2275"/>
      <c r="G86" s="2275"/>
      <c r="H86" s="2275" t="s">
        <v>305</v>
      </c>
      <c r="I86" s="2275"/>
      <c r="J86" s="2275"/>
      <c r="K86" s="2275"/>
      <c r="L86" s="2275"/>
      <c r="M86" s="2275"/>
      <c r="N86" s="2275"/>
      <c r="O86" s="2275"/>
      <c r="P86" s="2282">
        <f>'HSZ do groszy'!W46</f>
        <v>1300000</v>
      </c>
      <c r="Q86" s="2283"/>
      <c r="R86" s="2283"/>
      <c r="S86" s="2283"/>
      <c r="T86" s="2284">
        <f>ROUND(IPMT(($AA$3%+0.35%)/11,1,$D$171-$D$76+1,$P$172-(SUM($P$4:P85)))*-1,2)</f>
        <v>44583.64</v>
      </c>
      <c r="U86" s="2284"/>
      <c r="V86" s="2284"/>
      <c r="W86" s="2284"/>
      <c r="Y86" s="469"/>
      <c r="Z86" s="469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39454.550000000003</v>
      </c>
      <c r="U87" s="2284"/>
      <c r="V87" s="2284"/>
      <c r="W87" s="2284"/>
      <c r="Y87" s="472">
        <f>SUM(T76:W87)</f>
        <v>529874.59000000008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39454.550000000003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39454.550000000003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39454.550000000003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39454.550000000003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39454.550000000003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39454.550000000003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39454.550000000003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39454.550000000003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39454.550000000003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39454.550000000003</v>
      </c>
      <c r="U97" s="2284"/>
      <c r="V97" s="2284"/>
      <c r="W97" s="2284"/>
      <c r="Y97" s="469"/>
      <c r="Z97" s="469"/>
    </row>
    <row r="98" spans="1:26" ht="14.1" customHeight="1">
      <c r="A98" s="2280">
        <v>23</v>
      </c>
      <c r="B98" s="2281"/>
      <c r="C98" s="2281"/>
      <c r="D98" s="2275">
        <f t="shared" si="7"/>
        <v>2021</v>
      </c>
      <c r="E98" s="2275"/>
      <c r="F98" s="2275"/>
      <c r="G98" s="2275"/>
      <c r="H98" s="2275" t="s">
        <v>305</v>
      </c>
      <c r="I98" s="2275"/>
      <c r="J98" s="2275"/>
      <c r="K98" s="2275"/>
      <c r="L98" s="2275"/>
      <c r="M98" s="2275"/>
      <c r="N98" s="2275"/>
      <c r="O98" s="2275"/>
      <c r="P98" s="2282">
        <f>'HSZ do groszy'!Y46</f>
        <v>4000000</v>
      </c>
      <c r="Q98" s="2283"/>
      <c r="R98" s="2283"/>
      <c r="S98" s="2283"/>
      <c r="T98" s="2284">
        <f>ROUND(IPMT(($AA$3%+0.35%)/11,1,$D$171-$D$88+1,$P$172-(SUM($P$4:P97)))*-1,2)</f>
        <v>39454.550000000003</v>
      </c>
      <c r="U98" s="2284"/>
      <c r="V98" s="2284"/>
      <c r="W98" s="2284"/>
      <c r="Y98" s="469"/>
      <c r="Z98" s="469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23672.73</v>
      </c>
      <c r="U99" s="2284"/>
      <c r="V99" s="2284"/>
      <c r="W99" s="2284"/>
      <c r="Y99" s="472">
        <f>SUM(T88:W99)</f>
        <v>457672.77999999991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23672.73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23672.73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23672.73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23672.73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23672.73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23672.73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23672.73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23672.73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23672.73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23672.73</v>
      </c>
      <c r="U109" s="2284"/>
      <c r="V109" s="2284"/>
      <c r="W109" s="2284"/>
      <c r="Y109" s="471"/>
      <c r="Z109" s="469"/>
    </row>
    <row r="110" spans="1:26" ht="14.1" customHeight="1">
      <c r="A110" s="2280">
        <v>71</v>
      </c>
      <c r="B110" s="2281"/>
      <c r="C110" s="2281"/>
      <c r="D110" s="2275">
        <f t="shared" si="8"/>
        <v>2022</v>
      </c>
      <c r="E110" s="2275"/>
      <c r="F110" s="2275"/>
      <c r="G110" s="2275"/>
      <c r="H110" s="2275" t="s">
        <v>305</v>
      </c>
      <c r="I110" s="2275"/>
      <c r="J110" s="2275"/>
      <c r="K110" s="2275"/>
      <c r="L110" s="2275"/>
      <c r="M110" s="2275"/>
      <c r="N110" s="2275"/>
      <c r="O110" s="2275"/>
      <c r="P110" s="2282">
        <f>'HSZ do groszy'!AA46</f>
        <v>6000000</v>
      </c>
      <c r="Q110" s="2283"/>
      <c r="R110" s="2283"/>
      <c r="S110" s="2283"/>
      <c r="T110" s="2284">
        <f>ROUND(IPMT(($AA$3%+0.35%)/11,1,$D$171-$D$160+1,$P$172-(SUM($P$4:P109)))*-1,2)</f>
        <v>23672.73</v>
      </c>
      <c r="U110" s="2284"/>
      <c r="V110" s="2284"/>
      <c r="W110" s="2284"/>
      <c r="Y110" s="471"/>
      <c r="Z110" s="469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260400.03000000006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ht="14.1" customHeight="1">
      <c r="A122" s="2280">
        <v>71</v>
      </c>
      <c r="B122" s="2281"/>
      <c r="C122" s="2281"/>
      <c r="D122" s="2275">
        <f t="shared" si="9"/>
        <v>2023</v>
      </c>
      <c r="E122" s="2275"/>
      <c r="F122" s="2275"/>
      <c r="G122" s="2275"/>
      <c r="H122" s="2275" t="s">
        <v>305</v>
      </c>
      <c r="I122" s="2275"/>
      <c r="J122" s="2275"/>
      <c r="K122" s="2275"/>
      <c r="L122" s="2275"/>
      <c r="M122" s="2275"/>
      <c r="N122" s="2275"/>
      <c r="O122" s="2275"/>
      <c r="P122" s="2282">
        <f>'HSZ do groszy'!AC46</f>
        <v>0</v>
      </c>
      <c r="Q122" s="2283"/>
      <c r="R122" s="2283"/>
      <c r="S122" s="2283"/>
      <c r="T122" s="2284">
        <f>ROUND(IPMT(($AA$3%+0.35%)/11,1,$D$171-$D$160+1,$P$172-(SUM($P$4:P121)))*-1,2)</f>
        <v>0</v>
      </c>
      <c r="U122" s="2284"/>
      <c r="V122" s="2284"/>
      <c r="W122" s="2284"/>
      <c r="Y122" s="471"/>
      <c r="Z122" s="469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ht="14.1" customHeight="1">
      <c r="A134" s="2280">
        <v>71</v>
      </c>
      <c r="B134" s="2281"/>
      <c r="C134" s="2281"/>
      <c r="D134" s="2275">
        <f t="shared" si="10"/>
        <v>2024</v>
      </c>
      <c r="E134" s="2275"/>
      <c r="F134" s="2275"/>
      <c r="G134" s="2275"/>
      <c r="H134" s="2275" t="s">
        <v>305</v>
      </c>
      <c r="I134" s="2275"/>
      <c r="J134" s="2275"/>
      <c r="K134" s="2275"/>
      <c r="L134" s="2275"/>
      <c r="M134" s="2275"/>
      <c r="N134" s="2275"/>
      <c r="O134" s="2275"/>
      <c r="P134" s="2282">
        <f>'HSZ do groszy'!AE46</f>
        <v>0</v>
      </c>
      <c r="Q134" s="2283"/>
      <c r="R134" s="2283"/>
      <c r="S134" s="2283"/>
      <c r="T134" s="2284">
        <f>ROUND(IPMT(($AA$3%+0.35%)/11,1,$D$171-$D$160+1,$P$172-(SUM($P$4:P133)))*-1,2)</f>
        <v>0</v>
      </c>
      <c r="U134" s="2284"/>
      <c r="V134" s="2284"/>
      <c r="W134" s="2284"/>
      <c r="Y134" s="471"/>
      <c r="Z134" s="469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ht="14.1" customHeight="1">
      <c r="A146" s="2280">
        <v>71</v>
      </c>
      <c r="B146" s="2281"/>
      <c r="C146" s="2281"/>
      <c r="D146" s="2275">
        <f t="shared" si="11"/>
        <v>2025</v>
      </c>
      <c r="E146" s="2275"/>
      <c r="F146" s="2275"/>
      <c r="G146" s="2275"/>
      <c r="H146" s="2275" t="s">
        <v>305</v>
      </c>
      <c r="I146" s="2275"/>
      <c r="J146" s="2275"/>
      <c r="K146" s="2275"/>
      <c r="L146" s="2275"/>
      <c r="M146" s="2275"/>
      <c r="N146" s="2275"/>
      <c r="O146" s="2275"/>
      <c r="P146" s="2282">
        <f>'HSZ do groszy'!AG46</f>
        <v>0</v>
      </c>
      <c r="Q146" s="2283"/>
      <c r="R146" s="2283"/>
      <c r="S146" s="2283"/>
      <c r="T146" s="2284">
        <f>ROUND(IPMT(($AA$3%+0.35%)/11,1,$D$171-$D$160+1,$P$172-(SUM($P$4:P145)))*-1,2)</f>
        <v>0</v>
      </c>
      <c r="U146" s="2284"/>
      <c r="V146" s="2284"/>
      <c r="W146" s="2284"/>
      <c r="Y146" s="471"/>
      <c r="Z146" s="469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ht="14.1" customHeight="1">
      <c r="A158" s="2280">
        <v>71</v>
      </c>
      <c r="B158" s="2281"/>
      <c r="C158" s="2281"/>
      <c r="D158" s="2275">
        <f t="shared" si="12"/>
        <v>2026</v>
      </c>
      <c r="E158" s="2275"/>
      <c r="F158" s="2275"/>
      <c r="G158" s="2275"/>
      <c r="H158" s="2275" t="s">
        <v>305</v>
      </c>
      <c r="I158" s="2275"/>
      <c r="J158" s="2275"/>
      <c r="K158" s="2275"/>
      <c r="L158" s="2275"/>
      <c r="M158" s="2275"/>
      <c r="N158" s="2275"/>
      <c r="O158" s="2275"/>
      <c r="P158" s="2282">
        <v>0</v>
      </c>
      <c r="Q158" s="2283"/>
      <c r="R158" s="2283"/>
      <c r="S158" s="2283"/>
      <c r="T158" s="2284">
        <f>ROUND(IPMT(($AA$3%+0.35%)/11,1,$D$171-$D$160+1,$P$172-(SUM($P$4:P157)))*-1,2)</f>
        <v>0</v>
      </c>
      <c r="U158" s="2284"/>
      <c r="V158" s="2284"/>
      <c r="W158" s="2284"/>
      <c r="Y158" s="471"/>
      <c r="Z158" s="469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ht="14.1" customHeight="1">
      <c r="A170" s="2280">
        <v>71</v>
      </c>
      <c r="B170" s="2281"/>
      <c r="C170" s="2281"/>
      <c r="D170" s="2275">
        <f t="shared" si="13"/>
        <v>2027</v>
      </c>
      <c r="E170" s="2275"/>
      <c r="F170" s="2275"/>
      <c r="G170" s="2275"/>
      <c r="H170" s="2275" t="s">
        <v>305</v>
      </c>
      <c r="I170" s="2275"/>
      <c r="J170" s="2275"/>
      <c r="K170" s="2275"/>
      <c r="L170" s="2275"/>
      <c r="M170" s="2275"/>
      <c r="N170" s="2275"/>
      <c r="O170" s="2275"/>
      <c r="P170" s="2282">
        <v>0</v>
      </c>
      <c r="Q170" s="2283"/>
      <c r="R170" s="2283"/>
      <c r="S170" s="2283"/>
      <c r="T170" s="2284">
        <f>ROUND(IPMT(($AA$3%+0.35%)/11,1,$D$171-$D$160+1,$P$172-(SUM($P$4:P169)))*-1,2)</f>
        <v>0</v>
      </c>
      <c r="U170" s="2284"/>
      <c r="V170" s="2284"/>
      <c r="W170" s="2284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11300000</v>
      </c>
      <c r="Q172" s="2289"/>
      <c r="R172" s="2289"/>
      <c r="S172" s="2290"/>
      <c r="T172" s="2291">
        <f>SUM(T4:T171)</f>
        <v>4457969.4763636421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1"/>
  <dimension ref="A1:BA177"/>
  <sheetViews>
    <sheetView view="pageBreakPreview" topLeftCell="A114" workbookViewId="0">
      <selection activeCell="P134" sqref="P134:S134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7.5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6.5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49818.181818181823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49818.18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49818.18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49818.18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49818.18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49818.18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49818.18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49818.18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49818.18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49818.18</v>
      </c>
      <c r="U13" s="2284"/>
      <c r="V13" s="2284"/>
      <c r="W13" s="2284"/>
    </row>
    <row r="14" spans="1:27" ht="14.1" customHeight="1">
      <c r="A14" s="2280">
        <v>11</v>
      </c>
      <c r="B14" s="2281"/>
      <c r="C14" s="2281"/>
      <c r="D14" s="2294">
        <f t="shared" si="0"/>
        <v>2014</v>
      </c>
      <c r="E14" s="2295"/>
      <c r="F14" s="2295"/>
      <c r="G14" s="2296"/>
      <c r="H14" s="2275" t="s">
        <v>305</v>
      </c>
      <c r="I14" s="2275"/>
      <c r="J14" s="2275"/>
      <c r="K14" s="2275"/>
      <c r="L14" s="2275"/>
      <c r="M14" s="2275"/>
      <c r="N14" s="2275"/>
      <c r="O14" s="2275"/>
      <c r="P14" s="2282">
        <f>'HSZ do groszy'!K47</f>
        <v>0</v>
      </c>
      <c r="Q14" s="2283"/>
      <c r="R14" s="2283"/>
      <c r="S14" s="2283"/>
      <c r="T14" s="2284">
        <f>ROUND(IPMT(($AA$3%+0.35%)/11,1,$D$171-$D$4+1,$P$172-(SUM($P$4:P13)))*-1,2)</f>
        <v>49818.18</v>
      </c>
      <c r="U14" s="2284"/>
      <c r="V14" s="2284"/>
      <c r="W14" s="2284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49818.18</v>
      </c>
      <c r="U15" s="2284"/>
      <c r="V15" s="2284"/>
      <c r="W15" s="2284"/>
      <c r="Y15" s="472">
        <f>SUM(T4:W15)</f>
        <v>597818.16181818186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49818.18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49818.18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49818.18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49818.18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49818.18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49818.18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49818.18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49818.18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49818.18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49818.18</v>
      </c>
      <c r="U25" s="2284"/>
      <c r="V25" s="2284"/>
      <c r="W25" s="2284"/>
      <c r="Y25" s="469"/>
      <c r="Z25" s="469"/>
    </row>
    <row r="26" spans="1:26" ht="14.1" customHeight="1">
      <c r="A26" s="2280">
        <v>23</v>
      </c>
      <c r="B26" s="2281"/>
      <c r="C26" s="2281"/>
      <c r="D26" s="2275">
        <f t="shared" si="1"/>
        <v>2015</v>
      </c>
      <c r="E26" s="2275"/>
      <c r="F26" s="2275"/>
      <c r="G26" s="2275"/>
      <c r="H26" s="2275" t="s">
        <v>305</v>
      </c>
      <c r="I26" s="2275"/>
      <c r="J26" s="2275"/>
      <c r="K26" s="2275"/>
      <c r="L26" s="2275"/>
      <c r="M26" s="2275"/>
      <c r="N26" s="2275"/>
      <c r="O26" s="2275"/>
      <c r="P26" s="2282">
        <f>'HSZ do groszy'!M47</f>
        <v>0</v>
      </c>
      <c r="Q26" s="2283"/>
      <c r="R26" s="2283"/>
      <c r="S26" s="2283"/>
      <c r="T26" s="2284">
        <f>ROUND(IPMT(($AA$3%+0.35%)/11,1,$D$171-$D$16+1,$P$172-(SUM($P$4:P25)))*-1,2)</f>
        <v>49818.18</v>
      </c>
      <c r="U26" s="2284"/>
      <c r="V26" s="2284"/>
      <c r="W26" s="2284"/>
      <c r="Y26" s="469"/>
      <c r="Z26" s="469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49818.18</v>
      </c>
      <c r="U27" s="2284"/>
      <c r="V27" s="2284"/>
      <c r="W27" s="2284"/>
      <c r="Y27" s="472">
        <f>SUM(T16:W27)</f>
        <v>597818.16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49818.18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49818.18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49818.18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49818.18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49818.18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49818.18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49818.18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49818.18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49818.18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49818.18</v>
      </c>
      <c r="U37" s="2284"/>
      <c r="V37" s="2284"/>
      <c r="W37" s="2284"/>
      <c r="Y37" s="469"/>
      <c r="Z37" s="469"/>
    </row>
    <row r="38" spans="1:26" ht="14.1" customHeight="1">
      <c r="A38" s="2280">
        <v>35</v>
      </c>
      <c r="B38" s="2281"/>
      <c r="C38" s="2281"/>
      <c r="D38" s="2275">
        <f t="shared" si="2"/>
        <v>2016</v>
      </c>
      <c r="E38" s="2275"/>
      <c r="F38" s="2275"/>
      <c r="G38" s="2275"/>
      <c r="H38" s="2275" t="s">
        <v>305</v>
      </c>
      <c r="I38" s="2275"/>
      <c r="J38" s="2275"/>
      <c r="K38" s="2275"/>
      <c r="L38" s="2275"/>
      <c r="M38" s="2275"/>
      <c r="N38" s="2275"/>
      <c r="O38" s="2275"/>
      <c r="P38" s="2282">
        <f>'HSZ do groszy'!O47</f>
        <v>0</v>
      </c>
      <c r="Q38" s="2283"/>
      <c r="R38" s="2283"/>
      <c r="S38" s="2283"/>
      <c r="T38" s="2284">
        <f>ROUND(IPMT(($AA$3%+0.35%)/11,1,$D$171-$D$28+1,$P$172-(SUM($P$4:P37)))*-1,2)</f>
        <v>49818.18</v>
      </c>
      <c r="U38" s="2284"/>
      <c r="V38" s="2284"/>
      <c r="W38" s="2284"/>
      <c r="Y38" s="469"/>
      <c r="Z38" s="469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49818.18</v>
      </c>
      <c r="U39" s="2284"/>
      <c r="V39" s="2284"/>
      <c r="W39" s="2284"/>
      <c r="Y39" s="472">
        <f>SUM(T28:W39)</f>
        <v>597818.16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49818.18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49818.18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49818.18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49818.18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49818.18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49818.18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49818.18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49818.18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49818.18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49818.18</v>
      </c>
      <c r="U49" s="2284"/>
      <c r="V49" s="2284"/>
      <c r="W49" s="2284"/>
      <c r="Y49" s="469"/>
      <c r="Z49" s="469"/>
    </row>
    <row r="50" spans="1:26" ht="14.1" customHeight="1">
      <c r="A50" s="2280">
        <v>47</v>
      </c>
      <c r="B50" s="2281"/>
      <c r="C50" s="2281"/>
      <c r="D50" s="2275">
        <f t="shared" si="3"/>
        <v>2017</v>
      </c>
      <c r="E50" s="2275"/>
      <c r="F50" s="2275"/>
      <c r="G50" s="2275"/>
      <c r="H50" s="2275" t="s">
        <v>305</v>
      </c>
      <c r="I50" s="2275"/>
      <c r="J50" s="2275"/>
      <c r="K50" s="2275"/>
      <c r="L50" s="2275"/>
      <c r="M50" s="2275"/>
      <c r="N50" s="2275"/>
      <c r="O50" s="2275"/>
      <c r="P50" s="2282">
        <f>'HSZ do groszy'!Q47</f>
        <v>0</v>
      </c>
      <c r="Q50" s="2283"/>
      <c r="R50" s="2283"/>
      <c r="S50" s="2283"/>
      <c r="T50" s="2284">
        <f>ROUND(IPMT(($AA$3%+0.35%)/11,1,$D$171-$D$40+1,$P$172-(SUM($P$4:P49)))*-1,2)</f>
        <v>49818.18</v>
      </c>
      <c r="U50" s="2284"/>
      <c r="V50" s="2284"/>
      <c r="W50" s="2284"/>
      <c r="Y50" s="469"/>
      <c r="Z50" s="469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49818.18</v>
      </c>
      <c r="U51" s="2284"/>
      <c r="V51" s="2284"/>
      <c r="W51" s="2284"/>
      <c r="Y51" s="472">
        <f>SUM(T40:W51)</f>
        <v>597818.16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49818.18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49818.18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49818.18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49818.18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49818.18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49818.18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49818.18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49818.18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49818.18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49818.18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groszy'!S47</f>
        <v>0</v>
      </c>
      <c r="Q62" s="2315"/>
      <c r="R62" s="2315"/>
      <c r="S62" s="2315"/>
      <c r="T62" s="2316">
        <f>ROUND(IPMT(($AA$3%+0.35%)/11,1,$D$171-$D$52+1,$P$172-(SUM($P$4:P61)))*-1,2)</f>
        <v>49818.18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49818.18</v>
      </c>
      <c r="U63" s="2284"/>
      <c r="V63" s="2284"/>
      <c r="W63" s="2284"/>
      <c r="Y63" s="472">
        <f>SUM(T52:W63)</f>
        <v>597818.16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49818.18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49818.18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49818.18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49818.18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49818.18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49818.18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49818.18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49818.18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49818.18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49818.18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groszy'!U47</f>
        <v>0</v>
      </c>
      <c r="Q74" s="2315"/>
      <c r="R74" s="2315"/>
      <c r="S74" s="2315"/>
      <c r="T74" s="2316">
        <f>ROUND(IPMT(($AA$3%+0.35%)/11,1,$D$171-$D$64+1,$P$172-(SUM($P$4:P73)))*-1,2)</f>
        <v>49818.18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49818.18</v>
      </c>
      <c r="U75" s="2284"/>
      <c r="V75" s="2284"/>
      <c r="W75" s="2284"/>
      <c r="Y75" s="472">
        <f>SUM(T64:W75)</f>
        <v>597818.16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49818.18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49818.18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49818.18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49818.18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49818.18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49818.18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49818.18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49818.18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49818.18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49818.18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groszy'!W47</f>
        <v>0</v>
      </c>
      <c r="Q86" s="2315"/>
      <c r="R86" s="2315"/>
      <c r="S86" s="2315"/>
      <c r="T86" s="2316">
        <f>ROUND(IPMT(($AA$3%+0.35%)/11,1,$D$171-$D$76+1,$P$172-(SUM($P$4:P85)))*-1,2)</f>
        <v>49818.18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49818.18</v>
      </c>
      <c r="U87" s="2284"/>
      <c r="V87" s="2284"/>
      <c r="W87" s="2284"/>
      <c r="Y87" s="472">
        <f>SUM(T76:W87)</f>
        <v>597818.16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49818.18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49818.18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49818.18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49818.18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49818.18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49818.18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49818.18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49818.18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49818.18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49818.18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v>0</v>
      </c>
      <c r="Q98" s="2315"/>
      <c r="R98" s="2315"/>
      <c r="S98" s="2315"/>
      <c r="T98" s="2316">
        <f>ROUND(IPMT(($AA$3%+0.35%)/11,1,$D$171-$D$88+1,$P$172-(SUM($P$4:P97)))*-1,2)</f>
        <v>49818.18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49818.18</v>
      </c>
      <c r="U99" s="2284"/>
      <c r="V99" s="2284"/>
      <c r="W99" s="2284"/>
      <c r="Y99" s="472">
        <f>SUM(T88:W99)</f>
        <v>597818.16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49818.18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49818.18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49818.18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49818.18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49818.18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49818.18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49818.18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49818.18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49818.18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49818.18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groszy'!AA47</f>
        <v>0</v>
      </c>
      <c r="Q110" s="2315"/>
      <c r="R110" s="2315"/>
      <c r="S110" s="2315"/>
      <c r="T110" s="2316">
        <f>ROUND(IPMT(($AA$3%+0.35%)/11,1,$D$171-$D$160+1,$P$172-(SUM($P$4:P109)))*-1,2)</f>
        <v>49818.18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49818.18</v>
      </c>
      <c r="U111" s="2279"/>
      <c r="V111" s="2279"/>
      <c r="W111" s="2279"/>
      <c r="Y111" s="472">
        <f>SUM(T100:W111)</f>
        <v>597818.16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49818.18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49818.18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49818.18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49818.18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49818.18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49818.18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49818.18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49818.18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49818.18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49818.18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v>5000000</v>
      </c>
      <c r="Q122" s="2315"/>
      <c r="R122" s="2315"/>
      <c r="S122" s="2315"/>
      <c r="T122" s="2316">
        <f>ROUND(IPMT(($AA$3%+0.35%)/11,1,$D$171-$D$160+1,$P$172-(SUM($P$4:P121)))*-1,2)</f>
        <v>49818.18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18681.82</v>
      </c>
      <c r="U123" s="2279"/>
      <c r="V123" s="2279"/>
      <c r="W123" s="2279"/>
      <c r="Y123" s="472">
        <f>SUM(T112:W123)</f>
        <v>566681.79999999993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18681.82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18681.82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18681.82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18681.82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18681.82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18681.82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18681.82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18681.82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18681.82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18681.82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v>3000000</v>
      </c>
      <c r="Q134" s="2315"/>
      <c r="R134" s="2315"/>
      <c r="S134" s="2315"/>
      <c r="T134" s="2316">
        <f>ROUND(IPMT(($AA$3%+0.35%)/11,1,$D$171-$D$160+1,$P$172-(SUM($P$4:P133)))*-1,2)</f>
        <v>18681.82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205500.02000000005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groszy'!AG47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8000000</v>
      </c>
      <c r="Q172" s="2289"/>
      <c r="R172" s="2289"/>
      <c r="S172" s="2290"/>
      <c r="T172" s="2291">
        <f>SUM(T4:T171)</f>
        <v>6152545.2618181817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2"/>
  <dimension ref="A1:BA177"/>
  <sheetViews>
    <sheetView view="pageBreakPreview" topLeftCell="A58" workbookViewId="0">
      <selection activeCell="P90" sqref="P90:S90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3945.4545454545469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3945.45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3945.45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3945.45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3945.45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3945.45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3945.45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3945.45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3945.45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3945.45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groszy'!K48</f>
        <v>0</v>
      </c>
      <c r="Q14" s="2315"/>
      <c r="R14" s="2315"/>
      <c r="S14" s="2315"/>
      <c r="T14" s="2316">
        <f>ROUND(IPMT(($AA$3%+0.35%)/11,1,$D$171-$D$4+1,$P$172-(SUM($P$4:P13)))*-1,2)</f>
        <v>3945.45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3945.45</v>
      </c>
      <c r="U15" s="2284"/>
      <c r="V15" s="2284"/>
      <c r="W15" s="2284"/>
      <c r="Y15" s="472">
        <f>SUM(T4:W15)</f>
        <v>47345.404545454541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3945.45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3945.45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3945.45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3945.45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3945.45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3945.45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3945.45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3945.45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3945.45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3945.45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groszy'!M48</f>
        <v>0</v>
      </c>
      <c r="Q26" s="2315"/>
      <c r="R26" s="2315"/>
      <c r="S26" s="2315"/>
      <c r="T26" s="2316">
        <f>ROUND(IPMT(($AA$3%+0.35%)/11,1,$D$171-$D$16+1,$P$172-(SUM($P$4:P25)))*-1,2)</f>
        <v>3945.45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3945.45</v>
      </c>
      <c r="U27" s="2284"/>
      <c r="V27" s="2284"/>
      <c r="W27" s="2284"/>
      <c r="Y27" s="472">
        <f>SUM(T16:W27)</f>
        <v>47345.399999999994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3945.45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3945.45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3945.45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3945.45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3945.45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3945.45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3945.45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3945.45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3945.45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3945.45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groszy'!O48</f>
        <v>0</v>
      </c>
      <c r="Q38" s="2315"/>
      <c r="R38" s="2315"/>
      <c r="S38" s="2315"/>
      <c r="T38" s="2316">
        <f>ROUND(IPMT(($AA$3%+0.35%)/11,1,$D$171-$D$28+1,$P$172-(SUM($P$4:P37)))*-1,2)</f>
        <v>3945.45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3945.45</v>
      </c>
      <c r="U39" s="2284"/>
      <c r="V39" s="2284"/>
      <c r="W39" s="2284"/>
      <c r="Y39" s="472">
        <f>SUM(T28:W39)</f>
        <v>47345.399999999994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3945.45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3945.45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3945.45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3945.45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3945.45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3945.45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3945.45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3945.45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3945.45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3945.45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groszy'!Q48</f>
        <v>0</v>
      </c>
      <c r="Q50" s="2315"/>
      <c r="R50" s="2315"/>
      <c r="S50" s="2315"/>
      <c r="T50" s="2316">
        <f>ROUND(IPMT(($AA$3%+0.35%)/11,1,$D$171-$D$40+1,$P$172-(SUM($P$4:P49)))*-1,2)</f>
        <v>3945.45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3945.45</v>
      </c>
      <c r="U51" s="2284"/>
      <c r="V51" s="2284"/>
      <c r="W51" s="2284"/>
      <c r="Y51" s="472">
        <f>SUM(T40:W51)</f>
        <v>47345.399999999994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3945.45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3945.45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3945.45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3945.45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3945.45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3945.45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3945.45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3945.45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3945.45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3945.45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groszy'!S48</f>
        <v>0</v>
      </c>
      <c r="Q62" s="2315"/>
      <c r="R62" s="2315"/>
      <c r="S62" s="2315"/>
      <c r="T62" s="2316">
        <f>ROUND(IPMT(($AA$3%+0.35%)/11,1,$D$171-$D$52+1,$P$172-(SUM($P$4:P61)))*-1,2)</f>
        <v>3945.45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3945.45</v>
      </c>
      <c r="U63" s="2284"/>
      <c r="V63" s="2284"/>
      <c r="W63" s="2284"/>
      <c r="Y63" s="472">
        <f>SUM(T52:W63)</f>
        <v>47345.399999999994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3945.45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3945.45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3945.45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3945.45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3945.45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3945.45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3945.45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3945.45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3945.45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3945.45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groszy'!U48</f>
        <v>0</v>
      </c>
      <c r="Q74" s="2315"/>
      <c r="R74" s="2315"/>
      <c r="S74" s="2315"/>
      <c r="T74" s="2316">
        <f>ROUND(IPMT(($AA$3%+0.35%)/11,1,$D$171-$D$64+1,$P$172-(SUM($P$4:P73)))*-1,2)</f>
        <v>3945.45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3945.45</v>
      </c>
      <c r="U75" s="2284"/>
      <c r="V75" s="2284"/>
      <c r="W75" s="2284"/>
      <c r="Y75" s="472">
        <f>SUM(T64:W75)</f>
        <v>47345.399999999994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3945.45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3945.45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3945.45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3945.45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3945.45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3945.45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3945.45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3945.45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3945.45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3945.45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v>1000000</v>
      </c>
      <c r="Q86" s="2315"/>
      <c r="R86" s="2315"/>
      <c r="S86" s="2315"/>
      <c r="T86" s="2316">
        <f>ROUND(IPMT(($AA$3%+0.35%)/11,1,$D$171-$D$76+1,$P$172-(SUM($P$4:P85)))*-1,2)</f>
        <v>3945.45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43399.95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groszy'!AA48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groszy'!AC48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groszy'!AE48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groszy'!AG48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1000000</v>
      </c>
      <c r="Q172" s="2289"/>
      <c r="R172" s="2289"/>
      <c r="S172" s="2290"/>
      <c r="T172" s="2291">
        <f>SUM(T4:T171)</f>
        <v>327472.35454545502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3"/>
  <dimension ref="A1:BA177"/>
  <sheetViews>
    <sheetView view="pageBreakPreview" topLeftCell="A25" workbookViewId="0">
      <selection activeCell="P88" sqref="P88:S88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groszy'!K49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groszy'!M49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groszy'!O49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groszy'!Q49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groszy'!S49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groszy'!U49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groszy'!AC49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groszy'!AE49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groszy'!AG49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4"/>
  <dimension ref="A1:BA177"/>
  <sheetViews>
    <sheetView view="pageBreakPreview" topLeftCell="A43" workbookViewId="0">
      <selection activeCell="P101" sqref="P101:S101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groszy'!K50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groszy'!M50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groszy'!O50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groszy'!Q50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groszy'!S50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groszy'!U50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groszy'!AC50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groszy'!AE50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groszy'!AG50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5"/>
  <dimension ref="A1:BA177"/>
  <sheetViews>
    <sheetView view="pageBreakPreview" topLeftCell="A91" workbookViewId="0">
      <selection activeCell="P111" sqref="P111:S111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groszy'!K51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groszy'!M51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groszy'!O51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groszy'!Q51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groszy'!S51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groszy'!U51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groszy'!W51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groszy'!Y51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groszy'!AA51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groszy'!AC51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groszy'!AE51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groszy'!AG51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6"/>
  <dimension ref="A1:BA177"/>
  <sheetViews>
    <sheetView view="pageBreakPreview" topLeftCell="A91" workbookViewId="0">
      <selection activeCell="P123" sqref="P123:S123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groszy'!K52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groszy'!M52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groszy'!O52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groszy'!Q52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groszy'!S52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groszy'!U52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groszy'!W52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groszy'!Y52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groszy'!AA52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groszy'!AC52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groszy'!AE52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groszy'!AG52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7"/>
  <dimension ref="A1:BA177"/>
  <sheetViews>
    <sheetView view="pageBreakPreview" workbookViewId="0">
      <selection activeCell="P135" sqref="P135:S135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groszy'!K53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groszy'!M53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groszy'!O53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groszy'!Q53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groszy'!S53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groszy'!U53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groszy'!W53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groszy'!Y53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groszy'!AA53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groszy'!AC53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groszy'!AE53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groszy'!AG53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A74"/>
  <sheetViews>
    <sheetView view="pageBreakPreview" zoomScale="85" zoomScaleNormal="85" zoomScaleSheetLayoutView="85" workbookViewId="0">
      <selection activeCell="I8" sqref="I8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17" customWidth="1"/>
    <col min="5" max="5" width="15.85546875" style="117" customWidth="1"/>
    <col min="6" max="6" width="1.42578125" style="117" customWidth="1"/>
    <col min="7" max="7" width="16.7109375" style="117" customWidth="1"/>
    <col min="8" max="9" width="16.42578125" style="117" customWidth="1"/>
    <col min="10" max="11" width="16.28515625" style="117" customWidth="1"/>
    <col min="12" max="12" width="16.5703125" style="117" customWidth="1"/>
    <col min="13" max="16" width="15.7109375" style="117" customWidth="1"/>
    <col min="17" max="17" width="15.85546875" style="76" customWidth="1"/>
    <col min="18" max="21" width="15.85546875" style="38" customWidth="1"/>
    <col min="22" max="24" width="15.85546875" style="38" hidden="1" customWidth="1"/>
    <col min="25" max="25" width="15.85546875" style="38" customWidth="1"/>
    <col min="26" max="26" width="5.85546875" style="38" customWidth="1"/>
    <col min="27" max="27" width="9.140625" style="38" customWidth="1"/>
    <col min="28" max="16384" width="9.140625" style="38"/>
  </cols>
  <sheetData>
    <row r="1" spans="1:25" ht="12.75">
      <c r="M1" s="1256" t="s">
        <v>436</v>
      </c>
      <c r="N1" s="1256"/>
      <c r="O1" s="1256"/>
      <c r="P1" s="1256"/>
      <c r="Q1" s="1264"/>
      <c r="R1" s="1264"/>
    </row>
    <row r="2" spans="1:25" ht="12.75"/>
    <row r="3" spans="1:25" ht="35.25">
      <c r="B3" s="1257" t="s">
        <v>415</v>
      </c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</row>
    <row r="4" spans="1:25" ht="13.5" thickBot="1"/>
    <row r="5" spans="1:25" ht="13.5" thickTop="1">
      <c r="B5" s="1265" t="s">
        <v>187</v>
      </c>
      <c r="C5" s="1267" t="s">
        <v>0</v>
      </c>
      <c r="D5" s="1269" t="s">
        <v>188</v>
      </c>
      <c r="E5" s="1269" t="s">
        <v>189</v>
      </c>
      <c r="F5" s="1271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685"/>
      <c r="T5" s="685"/>
      <c r="U5" s="685"/>
      <c r="V5" s="685"/>
      <c r="W5" s="685"/>
      <c r="X5" s="685"/>
      <c r="Y5" s="872"/>
    </row>
    <row r="6" spans="1:25" ht="12.75">
      <c r="B6" s="1266"/>
      <c r="C6" s="1268"/>
      <c r="D6" s="1270"/>
      <c r="E6" s="1270"/>
      <c r="F6" s="118">
        <v>2012</v>
      </c>
      <c r="G6" s="873">
        <f t="shared" ref="G6:R6" si="0">F6+1</f>
        <v>2013</v>
      </c>
      <c r="H6" s="873">
        <f t="shared" si="0"/>
        <v>2014</v>
      </c>
      <c r="I6" s="873">
        <f t="shared" si="0"/>
        <v>2015</v>
      </c>
      <c r="J6" s="873">
        <f t="shared" si="0"/>
        <v>2016</v>
      </c>
      <c r="K6" s="873">
        <f t="shared" si="0"/>
        <v>2017</v>
      </c>
      <c r="L6" s="873">
        <f t="shared" si="0"/>
        <v>2018</v>
      </c>
      <c r="M6" s="873">
        <f t="shared" si="0"/>
        <v>2019</v>
      </c>
      <c r="N6" s="873">
        <f t="shared" si="0"/>
        <v>2020</v>
      </c>
      <c r="O6" s="873">
        <f t="shared" si="0"/>
        <v>2021</v>
      </c>
      <c r="P6" s="873">
        <f t="shared" si="0"/>
        <v>2022</v>
      </c>
      <c r="Q6" s="873">
        <f t="shared" si="0"/>
        <v>2023</v>
      </c>
      <c r="R6" s="873">
        <f t="shared" si="0"/>
        <v>2024</v>
      </c>
      <c r="S6" s="873">
        <f t="shared" ref="S6:X6" si="1">R6+1</f>
        <v>2025</v>
      </c>
      <c r="T6" s="873">
        <f t="shared" si="1"/>
        <v>2026</v>
      </c>
      <c r="U6" s="873">
        <f t="shared" si="1"/>
        <v>2027</v>
      </c>
      <c r="V6" s="118">
        <f t="shared" si="1"/>
        <v>2028</v>
      </c>
      <c r="W6" s="118">
        <f t="shared" si="1"/>
        <v>2029</v>
      </c>
      <c r="X6" s="118">
        <f t="shared" si="1"/>
        <v>2030</v>
      </c>
    </row>
    <row r="7" spans="1:25" ht="12.75">
      <c r="B7" s="78"/>
      <c r="C7" s="79"/>
      <c r="D7" s="119"/>
      <c r="E7" s="119"/>
      <c r="F7" s="119"/>
      <c r="G7" s="119"/>
      <c r="H7" s="120"/>
      <c r="I7" s="121"/>
      <c r="J7" s="121"/>
      <c r="K7" s="121"/>
      <c r="L7" s="121"/>
      <c r="M7" s="121"/>
      <c r="N7" s="121"/>
      <c r="O7" s="121"/>
      <c r="P7" s="121"/>
      <c r="Q7" s="121"/>
      <c r="R7" s="495"/>
      <c r="S7" s="495"/>
      <c r="T7" s="495"/>
      <c r="U7" s="495"/>
      <c r="V7" s="495"/>
      <c r="W7" s="495"/>
      <c r="X7" s="495"/>
    </row>
    <row r="8" spans="1:25" s="491" customFormat="1" ht="26.25" customHeight="1">
      <c r="A8" s="76"/>
      <c r="B8" s="85">
        <v>1</v>
      </c>
      <c r="C8" s="860" t="s">
        <v>190</v>
      </c>
      <c r="D8" s="87"/>
      <c r="E8" s="87"/>
      <c r="F8" s="478">
        <f>SUM(F9:F24)</f>
        <v>698867</v>
      </c>
      <c r="G8" s="478">
        <f t="shared" ref="G8:R8" si="2">SUM(G9:G24)</f>
        <v>660865</v>
      </c>
      <c r="H8" s="478">
        <f t="shared" si="2"/>
        <v>601396</v>
      </c>
      <c r="I8" s="478">
        <f t="shared" si="2"/>
        <v>1013994</v>
      </c>
      <c r="J8" s="478">
        <f t="shared" si="2"/>
        <v>1544277</v>
      </c>
      <c r="K8" s="478">
        <f t="shared" si="2"/>
        <v>1514964</v>
      </c>
      <c r="L8" s="478">
        <f t="shared" si="2"/>
        <v>1463969</v>
      </c>
      <c r="M8" s="478">
        <f t="shared" si="2"/>
        <v>1367151</v>
      </c>
      <c r="N8" s="478">
        <f t="shared" si="2"/>
        <v>1346808</v>
      </c>
      <c r="O8" s="478">
        <f t="shared" si="2"/>
        <v>1346808</v>
      </c>
      <c r="P8" s="478">
        <f t="shared" si="2"/>
        <v>1346808</v>
      </c>
      <c r="Q8" s="478">
        <f t="shared" si="2"/>
        <v>1346808</v>
      </c>
      <c r="R8" s="478">
        <f t="shared" si="2"/>
        <v>1346808</v>
      </c>
      <c r="S8" s="478">
        <f t="shared" ref="S8" si="3">SUM(S9:S24)</f>
        <v>1346808</v>
      </c>
      <c r="T8" s="478">
        <f t="shared" ref="T8" si="4">SUM(T9:T24)</f>
        <v>852632</v>
      </c>
      <c r="U8" s="478">
        <f t="shared" ref="U8:X8" si="5">SUM(U9:U24)</f>
        <v>852630</v>
      </c>
      <c r="V8" s="478">
        <f t="shared" si="5"/>
        <v>0</v>
      </c>
      <c r="W8" s="478">
        <f t="shared" si="5"/>
        <v>0</v>
      </c>
      <c r="X8" s="478">
        <f t="shared" si="5"/>
        <v>0</v>
      </c>
    </row>
    <row r="9" spans="1:25" s="491" customFormat="1" ht="12.75">
      <c r="A9" s="76"/>
      <c r="B9" s="88" t="s">
        <v>14</v>
      </c>
      <c r="C9" s="89" t="s">
        <v>191</v>
      </c>
      <c r="D9" s="90">
        <v>518029</v>
      </c>
      <c r="E9" s="91">
        <v>2004</v>
      </c>
      <c r="F9" s="482">
        <f>'HSZ do złotówek'!G14</f>
        <v>57559</v>
      </c>
      <c r="G9" s="482">
        <f>'HSZ do złotówek'!I14</f>
        <v>57557</v>
      </c>
      <c r="H9" s="486">
        <f>'HSZ do złotówek'!K14</f>
        <v>0</v>
      </c>
      <c r="I9" s="486">
        <f>'HSZ do złotówek'!M14</f>
        <v>0</v>
      </c>
      <c r="J9" s="486">
        <f>'HSZ do złotówek'!O14</f>
        <v>0</v>
      </c>
      <c r="K9" s="486">
        <f>'HSZ do złotówek'!Q14</f>
        <v>0</v>
      </c>
      <c r="L9" s="486">
        <f>'HSZ do złotówek'!S14</f>
        <v>0</v>
      </c>
      <c r="M9" s="486">
        <f>'HSZ do złotówek'!U14</f>
        <v>0</v>
      </c>
      <c r="N9" s="486">
        <f>'HSZ do złotówek'!W14</f>
        <v>0</v>
      </c>
      <c r="O9" s="486">
        <f>'HSZ do złotówek'!Y14</f>
        <v>0</v>
      </c>
      <c r="P9" s="486">
        <f>'HSZ do złotówek'!AA14</f>
        <v>0</v>
      </c>
      <c r="Q9" s="486">
        <f>'HSZ do złotówek'!AC14</f>
        <v>0</v>
      </c>
      <c r="R9" s="496">
        <f>'HSZ do złotówek'!AE14</f>
        <v>0</v>
      </c>
      <c r="S9" s="496">
        <f>'HSZ do złotówek'!AF14</f>
        <v>0</v>
      </c>
      <c r="T9" s="496">
        <f>'HSZ do złotówek'!AG14</f>
        <v>0</v>
      </c>
      <c r="U9" s="496">
        <f>'HSZ do złotówek'!AH14</f>
        <v>0</v>
      </c>
      <c r="V9" s="496">
        <f>'HSZ do złotówek'!AI14</f>
        <v>0</v>
      </c>
      <c r="W9" s="496">
        <f>'HSZ do złotówek'!AJ14</f>
        <v>0</v>
      </c>
      <c r="X9" s="496">
        <f>'HSZ do złotówek'!AK14</f>
        <v>0</v>
      </c>
    </row>
    <row r="10" spans="1:25" s="491" customFormat="1" ht="12.75">
      <c r="A10" s="76"/>
      <c r="B10" s="88" t="s">
        <v>15</v>
      </c>
      <c r="C10" s="89" t="s">
        <v>192</v>
      </c>
      <c r="D10" s="90">
        <v>1498996</v>
      </c>
      <c r="E10" s="91">
        <v>2005</v>
      </c>
      <c r="F10" s="482">
        <f>'HSZ do złotówek'!G15</f>
        <v>199880</v>
      </c>
      <c r="G10" s="482">
        <f>'HSZ do złotówek'!I15</f>
        <v>199880</v>
      </c>
      <c r="H10" s="486">
        <f>'HSZ do złotówek'!K15</f>
        <v>199880</v>
      </c>
      <c r="I10" s="486">
        <f>'HSZ do złotówek'!M15</f>
        <v>199776</v>
      </c>
      <c r="J10" s="486">
        <f>'HSZ do złotówek'!O15</f>
        <v>0</v>
      </c>
      <c r="K10" s="486">
        <f>'HSZ do złotówek'!Q15</f>
        <v>0</v>
      </c>
      <c r="L10" s="486">
        <f>'HSZ do złotówek'!S15</f>
        <v>0</v>
      </c>
      <c r="M10" s="486">
        <f>'HSZ do złotówek'!U15</f>
        <v>0</v>
      </c>
      <c r="N10" s="486">
        <f>'HSZ do złotówek'!W15</f>
        <v>0</v>
      </c>
      <c r="O10" s="486">
        <f>'HSZ do złotówek'!Y15</f>
        <v>0</v>
      </c>
      <c r="P10" s="486">
        <f>'HSZ do złotówek'!AA15</f>
        <v>0</v>
      </c>
      <c r="Q10" s="486">
        <f>'HSZ do złotówek'!AC15</f>
        <v>0</v>
      </c>
      <c r="R10" s="496">
        <f>'HSZ do złotówek'!AE15</f>
        <v>0</v>
      </c>
      <c r="S10" s="496">
        <f>'HSZ do złotówek'!AF15</f>
        <v>0</v>
      </c>
      <c r="T10" s="496">
        <f>'HSZ do złotówek'!AG15</f>
        <v>0</v>
      </c>
      <c r="U10" s="496">
        <f>'HSZ do złotówek'!AH15</f>
        <v>0</v>
      </c>
      <c r="V10" s="496">
        <f>'HSZ do złotówek'!AI15</f>
        <v>0</v>
      </c>
      <c r="W10" s="496">
        <f>'HSZ do złotówek'!AJ15</f>
        <v>0</v>
      </c>
      <c r="X10" s="496">
        <f>'HSZ do złotówek'!AK15</f>
        <v>0</v>
      </c>
    </row>
    <row r="11" spans="1:25" s="491" customFormat="1" ht="12.75">
      <c r="A11" s="76"/>
      <c r="B11" s="88" t="s">
        <v>22</v>
      </c>
      <c r="C11" s="89" t="s">
        <v>193</v>
      </c>
      <c r="D11" s="90">
        <v>138349</v>
      </c>
      <c r="E11" s="91">
        <v>2008</v>
      </c>
      <c r="F11" s="482">
        <f>'HSZ do złotówek'!G16</f>
        <v>15372</v>
      </c>
      <c r="G11" s="482">
        <f>'HSZ do złotówek'!I16</f>
        <v>15372</v>
      </c>
      <c r="H11" s="486">
        <f>'HSZ do złotówek'!K16</f>
        <v>15372</v>
      </c>
      <c r="I11" s="486">
        <f>'HSZ do złotówek'!M16</f>
        <v>15372</v>
      </c>
      <c r="J11" s="486">
        <f>'HSZ do złotówek'!O16</f>
        <v>15372</v>
      </c>
      <c r="K11" s="486">
        <f>'HSZ do złotówek'!Q16</f>
        <v>15372</v>
      </c>
      <c r="L11" s="486">
        <f>'HSZ do złotówek'!S16</f>
        <v>11529</v>
      </c>
      <c r="M11" s="486">
        <f>'HSZ do złotówek'!U16</f>
        <v>0</v>
      </c>
      <c r="N11" s="486">
        <f>'HSZ do złotówek'!W16</f>
        <v>0</v>
      </c>
      <c r="O11" s="486">
        <f>'HSZ do złotówek'!Y16</f>
        <v>0</v>
      </c>
      <c r="P11" s="486">
        <f>'HSZ do złotówek'!AA16</f>
        <v>0</v>
      </c>
      <c r="Q11" s="486">
        <f>'HSZ do złotówek'!AC16</f>
        <v>0</v>
      </c>
      <c r="R11" s="496">
        <f>'HSZ do złotówek'!AE16</f>
        <v>0</v>
      </c>
      <c r="S11" s="496">
        <f>'HSZ do złotówek'!AF16</f>
        <v>0</v>
      </c>
      <c r="T11" s="496">
        <f>'HSZ do złotówek'!AG16</f>
        <v>0</v>
      </c>
      <c r="U11" s="496">
        <f>'HSZ do złotówek'!AH16</f>
        <v>0</v>
      </c>
      <c r="V11" s="496">
        <f>'HSZ do złotówek'!AI16</f>
        <v>0</v>
      </c>
      <c r="W11" s="496">
        <f>'HSZ do złotówek'!AJ16</f>
        <v>0</v>
      </c>
      <c r="X11" s="496">
        <f>'HSZ do złotówek'!AK16</f>
        <v>0</v>
      </c>
    </row>
    <row r="12" spans="1:25" s="491" customFormat="1" ht="12.75">
      <c r="A12" s="76"/>
      <c r="B12" s="88" t="s">
        <v>194</v>
      </c>
      <c r="C12" s="89" t="s">
        <v>195</v>
      </c>
      <c r="D12" s="90">
        <v>499709</v>
      </c>
      <c r="E12" s="91">
        <v>2007</v>
      </c>
      <c r="F12" s="482">
        <f>'HSZ do złotówek'!G17</f>
        <v>47500</v>
      </c>
      <c r="G12" s="482">
        <f>'HSZ do złotówek'!I17</f>
        <v>47500</v>
      </c>
      <c r="H12" s="486">
        <f>'HSZ do złotówek'!K17</f>
        <v>47500</v>
      </c>
      <c r="I12" s="486">
        <f>'HSZ do złotówek'!M17</f>
        <v>47500</v>
      </c>
      <c r="J12" s="486">
        <f>'HSZ do złotówek'!O17</f>
        <v>47500</v>
      </c>
      <c r="K12" s="486">
        <f>'HSZ do złotówek'!Q17</f>
        <v>47500</v>
      </c>
      <c r="L12" s="486">
        <f>'HSZ do złotówek'!S17</f>
        <v>47500</v>
      </c>
      <c r="M12" s="486">
        <f>'HSZ do złotówek'!U17</f>
        <v>0</v>
      </c>
      <c r="N12" s="486">
        <f>'HSZ do złotówek'!W17</f>
        <v>0</v>
      </c>
      <c r="O12" s="486">
        <f>'HSZ do złotówek'!Y17</f>
        <v>0</v>
      </c>
      <c r="P12" s="486">
        <f>'HSZ do złotówek'!AA17</f>
        <v>0</v>
      </c>
      <c r="Q12" s="486">
        <f>'HSZ do złotówek'!AC17</f>
        <v>0</v>
      </c>
      <c r="R12" s="496">
        <f>'HSZ do złotówek'!AE17</f>
        <v>0</v>
      </c>
      <c r="S12" s="496">
        <f>'HSZ do złotówek'!AF17</f>
        <v>0</v>
      </c>
      <c r="T12" s="496">
        <f>'HSZ do złotówek'!AG17</f>
        <v>0</v>
      </c>
      <c r="U12" s="496">
        <f>'HSZ do złotówek'!AH17</f>
        <v>0</v>
      </c>
      <c r="V12" s="496">
        <f>'HSZ do złotówek'!AI17</f>
        <v>0</v>
      </c>
      <c r="W12" s="496">
        <f>'HSZ do złotówek'!AJ17</f>
        <v>0</v>
      </c>
      <c r="X12" s="496">
        <f>'HSZ do złotówek'!AK17</f>
        <v>0</v>
      </c>
    </row>
    <row r="13" spans="1:25" s="491" customFormat="1" ht="12.75">
      <c r="A13" s="76"/>
      <c r="B13" s="88" t="s">
        <v>196</v>
      </c>
      <c r="C13" s="89" t="s">
        <v>197</v>
      </c>
      <c r="D13" s="90">
        <v>307667</v>
      </c>
      <c r="E13" s="91">
        <v>2003</v>
      </c>
      <c r="F13" s="482">
        <f>'HSZ do złotówek'!G18</f>
        <v>38000</v>
      </c>
      <c r="G13" s="482">
        <f>'HSZ do złotówek'!I18</f>
        <v>0</v>
      </c>
      <c r="H13" s="486">
        <f>'HSZ do złotówek'!K18</f>
        <v>0</v>
      </c>
      <c r="I13" s="486">
        <f>'HSZ do złotówek'!M18</f>
        <v>0</v>
      </c>
      <c r="J13" s="486">
        <f>'HSZ do złotówek'!O18</f>
        <v>0</v>
      </c>
      <c r="K13" s="486">
        <f>'HSZ do złotówek'!Q18</f>
        <v>0</v>
      </c>
      <c r="L13" s="486">
        <f>'HSZ do złotówek'!S18</f>
        <v>0</v>
      </c>
      <c r="M13" s="486">
        <f>'HSZ do złotówek'!U18</f>
        <v>0</v>
      </c>
      <c r="N13" s="486">
        <f>'HSZ do złotówek'!W18</f>
        <v>0</v>
      </c>
      <c r="O13" s="486">
        <f>'HSZ do złotówek'!Y18</f>
        <v>0</v>
      </c>
      <c r="P13" s="486">
        <f>'HSZ do złotówek'!AA18</f>
        <v>0</v>
      </c>
      <c r="Q13" s="486">
        <f>'HSZ do złotówek'!AC18</f>
        <v>0</v>
      </c>
      <c r="R13" s="496">
        <f>'HSZ do złotówek'!AE18</f>
        <v>0</v>
      </c>
      <c r="S13" s="496">
        <f>'HSZ do złotówek'!AF18</f>
        <v>0</v>
      </c>
      <c r="T13" s="496">
        <f>'HSZ do złotówek'!AG18</f>
        <v>0</v>
      </c>
      <c r="U13" s="496">
        <f>'HSZ do złotówek'!AH18</f>
        <v>0</v>
      </c>
      <c r="V13" s="496">
        <f>'HSZ do złotówek'!AI18</f>
        <v>0</v>
      </c>
      <c r="W13" s="496">
        <f>'HSZ do złotówek'!AJ18</f>
        <v>0</v>
      </c>
      <c r="X13" s="496">
        <f>'HSZ do złotówek'!AK18</f>
        <v>0</v>
      </c>
    </row>
    <row r="14" spans="1:25" s="491" customFormat="1" ht="12.75">
      <c r="A14" s="76"/>
      <c r="B14" s="88" t="s">
        <v>198</v>
      </c>
      <c r="C14" s="89" t="s">
        <v>199</v>
      </c>
      <c r="D14" s="90">
        <v>366174</v>
      </c>
      <c r="E14" s="91">
        <v>2008</v>
      </c>
      <c r="F14" s="482">
        <f>'HSZ do złotówek'!G19</f>
        <v>37000</v>
      </c>
      <c r="G14" s="482">
        <f>'HSZ do złotówek'!I19</f>
        <v>37000</v>
      </c>
      <c r="H14" s="486">
        <f>'HSZ do złotówek'!K19</f>
        <v>35087</v>
      </c>
      <c r="I14" s="486">
        <f>'HSZ do złotówek'!M19</f>
        <v>40686</v>
      </c>
      <c r="J14" s="486">
        <f>'HSZ do złotówek'!O19</f>
        <v>40686</v>
      </c>
      <c r="K14" s="486">
        <f>'HSZ do złotówek'!Q19</f>
        <v>40686</v>
      </c>
      <c r="L14" s="486">
        <f>'HSZ do złotówek'!S19</f>
        <v>40686</v>
      </c>
      <c r="M14" s="486">
        <f>'HSZ do złotówek'!U19</f>
        <v>20343</v>
      </c>
      <c r="N14" s="486">
        <f>'HSZ do złotówek'!W19</f>
        <v>0</v>
      </c>
      <c r="O14" s="486">
        <f>'HSZ do złotówek'!Y19</f>
        <v>0</v>
      </c>
      <c r="P14" s="486">
        <f>'HSZ do złotówek'!AA19</f>
        <v>0</v>
      </c>
      <c r="Q14" s="486">
        <f>'HSZ do złotówek'!AC19</f>
        <v>0</v>
      </c>
      <c r="R14" s="496">
        <f>'HSZ do złotówek'!AE19</f>
        <v>0</v>
      </c>
      <c r="S14" s="496">
        <f>'HSZ do złotówek'!AF19</f>
        <v>0</v>
      </c>
      <c r="T14" s="496">
        <f>'HSZ do złotówek'!AG19</f>
        <v>0</v>
      </c>
      <c r="U14" s="496">
        <f>'HSZ do złotówek'!AH19</f>
        <v>0</v>
      </c>
      <c r="V14" s="496">
        <f>'HSZ do złotówek'!AI19</f>
        <v>0</v>
      </c>
      <c r="W14" s="496">
        <f>'HSZ do złotówek'!AJ19</f>
        <v>0</v>
      </c>
      <c r="X14" s="496">
        <f>'HSZ do złotówek'!AK19</f>
        <v>0</v>
      </c>
    </row>
    <row r="15" spans="1:25" s="491" customFormat="1" ht="12.75">
      <c r="A15" s="76"/>
      <c r="B15" s="88" t="s">
        <v>200</v>
      </c>
      <c r="C15" s="92" t="s">
        <v>201</v>
      </c>
      <c r="D15" s="90">
        <v>562761</v>
      </c>
      <c r="E15" s="91">
        <v>2005</v>
      </c>
      <c r="F15" s="482">
        <f>'HSZ do złotówek'!G20</f>
        <v>62532</v>
      </c>
      <c r="G15" s="482">
        <f>'HSZ do złotówek'!I20</f>
        <v>62532</v>
      </c>
      <c r="H15" s="486">
        <f>'HSZ do złotówek'!K20</f>
        <v>62532</v>
      </c>
      <c r="I15" s="486">
        <f>'HSZ do złotówek'!M20</f>
        <v>62532</v>
      </c>
      <c r="J15" s="486">
        <f>'HSZ do złotówek'!O20</f>
        <v>15606</v>
      </c>
      <c r="K15" s="486">
        <f>'HSZ do złotówek'!Q20</f>
        <v>0</v>
      </c>
      <c r="L15" s="486">
        <f>'HSZ do złotówek'!S20</f>
        <v>0</v>
      </c>
      <c r="M15" s="486">
        <f>'HSZ do złotówek'!U20</f>
        <v>0</v>
      </c>
      <c r="N15" s="486">
        <f>'HSZ do złotówek'!W20</f>
        <v>0</v>
      </c>
      <c r="O15" s="486">
        <f>'HSZ do złotówek'!Y20</f>
        <v>0</v>
      </c>
      <c r="P15" s="486">
        <f>'HSZ do złotówek'!AA20</f>
        <v>0</v>
      </c>
      <c r="Q15" s="486">
        <f>'HSZ do złotówek'!AC20</f>
        <v>0</v>
      </c>
      <c r="R15" s="496">
        <f>'HSZ do złotówek'!AE20</f>
        <v>0</v>
      </c>
      <c r="S15" s="496">
        <f>'HSZ do złotówek'!AF20</f>
        <v>0</v>
      </c>
      <c r="T15" s="496">
        <f>'HSZ do złotówek'!AG20</f>
        <v>0</v>
      </c>
      <c r="U15" s="496">
        <f>'HSZ do złotówek'!AH20</f>
        <v>0</v>
      </c>
      <c r="V15" s="496">
        <f>'HSZ do złotówek'!AI20</f>
        <v>0</v>
      </c>
      <c r="W15" s="496">
        <f>'HSZ do złotówek'!AJ20</f>
        <v>0</v>
      </c>
      <c r="X15" s="496">
        <f>'HSZ do złotówek'!AK20</f>
        <v>0</v>
      </c>
    </row>
    <row r="16" spans="1:25" s="491" customFormat="1" ht="12.75">
      <c r="A16" s="76"/>
      <c r="B16" s="88" t="s">
        <v>202</v>
      </c>
      <c r="C16" s="92" t="s">
        <v>203</v>
      </c>
      <c r="D16" s="90">
        <v>917338</v>
      </c>
      <c r="E16" s="91">
        <v>2006</v>
      </c>
      <c r="F16" s="482">
        <f>'HSZ do złotówek'!G21</f>
        <v>162720</v>
      </c>
      <c r="G16" s="482">
        <f>'HSZ do złotówek'!I21</f>
        <v>162720</v>
      </c>
      <c r="H16" s="486">
        <f>'HSZ do złotówek'!K21</f>
        <v>22378</v>
      </c>
      <c r="I16" s="486">
        <f>'HSZ do złotówek'!M21</f>
        <v>0</v>
      </c>
      <c r="J16" s="486">
        <f>'HSZ do złotówek'!O21</f>
        <v>0</v>
      </c>
      <c r="K16" s="486">
        <f>'HSZ do złotówek'!Q21</f>
        <v>0</v>
      </c>
      <c r="L16" s="486">
        <f>'HSZ do złotówek'!S21</f>
        <v>0</v>
      </c>
      <c r="M16" s="486">
        <f>'HSZ do złotówek'!U21</f>
        <v>0</v>
      </c>
      <c r="N16" s="486">
        <f>'HSZ do złotówek'!W21</f>
        <v>0</v>
      </c>
      <c r="O16" s="486">
        <f>'HSZ do złotówek'!Y21</f>
        <v>0</v>
      </c>
      <c r="P16" s="486">
        <f>'HSZ do złotówek'!AA21</f>
        <v>0</v>
      </c>
      <c r="Q16" s="486">
        <f>'HSZ do złotówek'!AC21</f>
        <v>0</v>
      </c>
      <c r="R16" s="496">
        <f>'HSZ do złotówek'!AE21</f>
        <v>0</v>
      </c>
      <c r="S16" s="496">
        <f>'HSZ do złotówek'!AF21</f>
        <v>0</v>
      </c>
      <c r="T16" s="496">
        <f>'HSZ do złotówek'!AG21</f>
        <v>0</v>
      </c>
      <c r="U16" s="496">
        <f>'HSZ do złotówek'!AH21</f>
        <v>0</v>
      </c>
      <c r="V16" s="496">
        <f>'HSZ do złotówek'!AI21</f>
        <v>0</v>
      </c>
      <c r="W16" s="496">
        <f>'HSZ do złotówek'!AJ21</f>
        <v>0</v>
      </c>
      <c r="X16" s="496">
        <f>'HSZ do złotówek'!AK21</f>
        <v>0</v>
      </c>
    </row>
    <row r="17" spans="1:24" s="491" customFormat="1" ht="12.75">
      <c r="A17" s="76"/>
      <c r="B17" s="88" t="s">
        <v>204</v>
      </c>
      <c r="C17" s="92" t="s">
        <v>205</v>
      </c>
      <c r="D17" s="90">
        <v>548278</v>
      </c>
      <c r="E17" s="91">
        <v>2006</v>
      </c>
      <c r="F17" s="482">
        <f>'HSZ do złotówek'!G22</f>
        <v>54824</v>
      </c>
      <c r="G17" s="482">
        <f>'HSZ do złotówek'!I22</f>
        <v>54824</v>
      </c>
      <c r="H17" s="486">
        <f>'HSZ do złotówek'!K22</f>
        <v>54824</v>
      </c>
      <c r="I17" s="486">
        <f>'HSZ do złotówek'!M22</f>
        <v>54824</v>
      </c>
      <c r="J17" s="486">
        <f>'HSZ do złotówek'!O22</f>
        <v>54824</v>
      </c>
      <c r="K17" s="486">
        <f>'HSZ do złotówek'!Q22</f>
        <v>41118</v>
      </c>
      <c r="L17" s="486">
        <f>'HSZ do złotówek'!S22</f>
        <v>0</v>
      </c>
      <c r="M17" s="486">
        <f>'HSZ do złotówek'!U22</f>
        <v>0</v>
      </c>
      <c r="N17" s="486">
        <f>'HSZ do złotówek'!W22</f>
        <v>0</v>
      </c>
      <c r="O17" s="486">
        <f>'HSZ do złotówek'!Y22</f>
        <v>0</v>
      </c>
      <c r="P17" s="486">
        <f>'HSZ do złotówek'!AA22</f>
        <v>0</v>
      </c>
      <c r="Q17" s="486">
        <f>'HSZ do złotówek'!AC22</f>
        <v>0</v>
      </c>
      <c r="R17" s="496">
        <f>'HSZ do złotówek'!AE22</f>
        <v>0</v>
      </c>
      <c r="S17" s="496">
        <f>'HSZ do złotówek'!AF22</f>
        <v>0</v>
      </c>
      <c r="T17" s="496">
        <f>'HSZ do złotówek'!AG22</f>
        <v>0</v>
      </c>
      <c r="U17" s="496">
        <f>'HSZ do złotówek'!AH22</f>
        <v>0</v>
      </c>
      <c r="V17" s="496">
        <f>'HSZ do złotówek'!AI22</f>
        <v>0</v>
      </c>
      <c r="W17" s="496">
        <f>'HSZ do złotówek'!AJ22</f>
        <v>0</v>
      </c>
      <c r="X17" s="496">
        <f>'HSZ do złotówek'!AK22</f>
        <v>0</v>
      </c>
    </row>
    <row r="18" spans="1:24" s="491" customFormat="1" ht="12.75">
      <c r="A18" s="76"/>
      <c r="B18" s="88" t="s">
        <v>206</v>
      </c>
      <c r="C18" s="92" t="s">
        <v>207</v>
      </c>
      <c r="D18" s="90">
        <v>222896</v>
      </c>
      <c r="E18" s="91">
        <v>2007</v>
      </c>
      <c r="F18" s="482">
        <f>'HSZ do złotówek'!G23</f>
        <v>23480</v>
      </c>
      <c r="G18" s="482">
        <f>'HSZ do złotówek'!I23</f>
        <v>23480</v>
      </c>
      <c r="H18" s="486">
        <f>'HSZ do złotówek'!K23</f>
        <v>23480</v>
      </c>
      <c r="I18" s="486">
        <f>'HSZ do złotówek'!M23</f>
        <v>23480</v>
      </c>
      <c r="J18" s="486">
        <f>'HSZ do złotówek'!O23</f>
        <v>23480</v>
      </c>
      <c r="K18" s="486">
        <f>'HSZ do złotówek'!Q23</f>
        <v>23480</v>
      </c>
      <c r="L18" s="486">
        <f>'HSZ do złotówek'!S23</f>
        <v>17446</v>
      </c>
      <c r="M18" s="486">
        <f>'HSZ do złotówek'!U23</f>
        <v>0</v>
      </c>
      <c r="N18" s="486">
        <f>'HSZ do złotówek'!W23</f>
        <v>0</v>
      </c>
      <c r="O18" s="486">
        <f>'HSZ do złotówek'!Y23</f>
        <v>0</v>
      </c>
      <c r="P18" s="486">
        <f>'HSZ do złotówek'!AA23</f>
        <v>0</v>
      </c>
      <c r="Q18" s="486">
        <f>'HSZ do złotówek'!AC23</f>
        <v>0</v>
      </c>
      <c r="R18" s="496">
        <f>'HSZ do złotówek'!AE23</f>
        <v>0</v>
      </c>
      <c r="S18" s="496">
        <f>'HSZ do złotówek'!AF23</f>
        <v>0</v>
      </c>
      <c r="T18" s="496">
        <f>'HSZ do złotówek'!AG23</f>
        <v>0</v>
      </c>
      <c r="U18" s="496">
        <f>'HSZ do złotówek'!AH23</f>
        <v>0</v>
      </c>
      <c r="V18" s="496">
        <f>'HSZ do złotówek'!AI23</f>
        <v>0</v>
      </c>
      <c r="W18" s="496">
        <f>'HSZ do złotówek'!AJ23</f>
        <v>0</v>
      </c>
      <c r="X18" s="496">
        <f>'HSZ do złotówek'!AK23</f>
        <v>0</v>
      </c>
    </row>
    <row r="19" spans="1:24" s="491" customFormat="1" ht="12.75">
      <c r="A19" s="76"/>
      <c r="B19" s="88" t="s">
        <v>208</v>
      </c>
      <c r="C19" s="92" t="s">
        <v>209</v>
      </c>
      <c r="D19" s="90">
        <v>141743.99</v>
      </c>
      <c r="E19" s="91">
        <v>2006</v>
      </c>
      <c r="F19" s="482">
        <f>'HSZ do złotówek'!G24</f>
        <v>0</v>
      </c>
      <c r="G19" s="482">
        <f>'HSZ do złotówek'!I24</f>
        <v>0</v>
      </c>
      <c r="H19" s="486">
        <f>'HSZ do złotówek'!K24</f>
        <v>140343</v>
      </c>
      <c r="I19" s="486">
        <f>'HSZ do złotówek'!M24</f>
        <v>1402</v>
      </c>
      <c r="J19" s="486">
        <f>'HSZ do złotówek'!O24</f>
        <v>0</v>
      </c>
      <c r="K19" s="486">
        <f>'HSZ do złotówek'!Q24</f>
        <v>0</v>
      </c>
      <c r="L19" s="486">
        <f>'HSZ do złotówek'!S24</f>
        <v>0</v>
      </c>
      <c r="M19" s="486">
        <f>'HSZ do złotówek'!U24</f>
        <v>0</v>
      </c>
      <c r="N19" s="486">
        <f>'HSZ do złotówek'!W24</f>
        <v>0</v>
      </c>
      <c r="O19" s="486">
        <f>'HSZ do złotówek'!Y24</f>
        <v>0</v>
      </c>
      <c r="P19" s="486">
        <f>'HSZ do złotówek'!AA24</f>
        <v>0</v>
      </c>
      <c r="Q19" s="486">
        <f>'HSZ do złotówek'!AC24</f>
        <v>0</v>
      </c>
      <c r="R19" s="496">
        <f>'HSZ do złotówek'!AE24</f>
        <v>0</v>
      </c>
      <c r="S19" s="496">
        <f>'HSZ do złotówek'!AF24</f>
        <v>0</v>
      </c>
      <c r="T19" s="496">
        <f>'HSZ do złotówek'!AG24</f>
        <v>0</v>
      </c>
      <c r="U19" s="496">
        <f>'HSZ do złotówek'!AH24</f>
        <v>0</v>
      </c>
      <c r="V19" s="496">
        <f>'HSZ do złotówek'!AI24</f>
        <v>0</v>
      </c>
      <c r="W19" s="496">
        <f>'HSZ do złotówek'!AJ24</f>
        <v>0</v>
      </c>
      <c r="X19" s="496">
        <f>'HSZ do złotówek'!AK24</f>
        <v>0</v>
      </c>
    </row>
    <row r="20" spans="1:24" s="491" customFormat="1" ht="12.75">
      <c r="A20" s="76"/>
      <c r="B20" s="88"/>
      <c r="C20" s="92"/>
      <c r="D20" s="90"/>
      <c r="E20" s="91"/>
      <c r="F20" s="482"/>
      <c r="G20" s="482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96"/>
      <c r="S20" s="496"/>
      <c r="T20" s="496"/>
      <c r="U20" s="496"/>
      <c r="V20" s="496"/>
      <c r="W20" s="496"/>
      <c r="X20" s="496"/>
    </row>
    <row r="21" spans="1:24" s="491" customFormat="1" ht="12.75">
      <c r="A21" s="76"/>
      <c r="B21" s="88" t="s">
        <v>211</v>
      </c>
      <c r="C21" s="836" t="s">
        <v>408</v>
      </c>
      <c r="D21" s="90">
        <f>SUM(I21:X21)+2</f>
        <v>10800006</v>
      </c>
      <c r="E21" s="91">
        <v>2013</v>
      </c>
      <c r="F21" s="482"/>
      <c r="G21" s="482"/>
      <c r="H21" s="486"/>
      <c r="I21" s="486">
        <f>'HSZ do złotówek'!M30</f>
        <v>568422</v>
      </c>
      <c r="J21" s="486">
        <f>'HSZ do złotówek'!O30</f>
        <v>852632</v>
      </c>
      <c r="K21" s="486">
        <f>'HSZ do złotówek'!Q30</f>
        <v>852632</v>
      </c>
      <c r="L21" s="486">
        <f>'HSZ do złotówek'!S30</f>
        <v>852632</v>
      </c>
      <c r="M21" s="486">
        <f>'HSZ do złotówek'!U30</f>
        <v>852632</v>
      </c>
      <c r="N21" s="486">
        <f>'HSZ do złotówek'!W30</f>
        <v>852632</v>
      </c>
      <c r="O21" s="486">
        <f>'HSZ do złotówek'!Y30</f>
        <v>852632</v>
      </c>
      <c r="P21" s="486">
        <f>'HSZ do złotówek'!AA30</f>
        <v>852632</v>
      </c>
      <c r="Q21" s="486">
        <f>'HSZ do złotówek'!AC30</f>
        <v>852632</v>
      </c>
      <c r="R21" s="486">
        <f>'HSZ do złotówek'!AE30</f>
        <v>852632</v>
      </c>
      <c r="S21" s="486">
        <f>'HSZ do złotówek'!AG30</f>
        <v>852632</v>
      </c>
      <c r="T21" s="486">
        <f>'HSZ do złotówek'!AI30</f>
        <v>852632</v>
      </c>
      <c r="U21" s="482">
        <f>'HSZ do złotówek'!AK30-2</f>
        <v>852630</v>
      </c>
      <c r="V21" s="486">
        <f>'HSZ do złotówek'!AM30</f>
        <v>0</v>
      </c>
      <c r="W21" s="486">
        <f>'HSZ do złotówek'!AO30</f>
        <v>0</v>
      </c>
      <c r="X21" s="486">
        <f>'HSZ do złotówek'!AQ30</f>
        <v>0</v>
      </c>
    </row>
    <row r="22" spans="1:24" s="491" customFormat="1" ht="12.75">
      <c r="A22" s="76"/>
      <c r="B22" s="88" t="s">
        <v>329</v>
      </c>
      <c r="C22" s="609" t="str">
        <f>'HSZ do złotówek'!A27</f>
        <v>pożyczka 2013</v>
      </c>
      <c r="D22" s="90">
        <f>SUM(G22:S22)</f>
        <v>0</v>
      </c>
      <c r="E22" s="91">
        <v>2013</v>
      </c>
      <c r="F22" s="482">
        <f>'HSZ do złotówek'!G27</f>
        <v>0</v>
      </c>
      <c r="G22" s="482">
        <f>'HSZ do złotówek'!I27</f>
        <v>0</v>
      </c>
      <c r="H22" s="486">
        <f>'HSZ do złotówek'!K27</f>
        <v>0</v>
      </c>
      <c r="I22" s="486">
        <f>'HSZ do złotówek'!M27</f>
        <v>0</v>
      </c>
      <c r="J22" s="486">
        <f>'HSZ do złotówek'!O27</f>
        <v>0</v>
      </c>
      <c r="K22" s="486">
        <f>'HSZ do złotówek'!Q27</f>
        <v>0</v>
      </c>
      <c r="L22" s="486">
        <f>'HSZ do złotówek'!S27</f>
        <v>0</v>
      </c>
      <c r="M22" s="486">
        <f>'HSZ do złotówek'!U27</f>
        <v>0</v>
      </c>
      <c r="N22" s="486">
        <f>'HSZ do złotówek'!W27</f>
        <v>0</v>
      </c>
      <c r="O22" s="486">
        <f>'HSZ do złotówek'!Y27</f>
        <v>0</v>
      </c>
      <c r="P22" s="486">
        <f>'HSZ do złotówek'!AA27</f>
        <v>0</v>
      </c>
      <c r="Q22" s="486">
        <f>'HSZ do złotówek'!AC27</f>
        <v>0</v>
      </c>
      <c r="R22" s="496">
        <f>'HSZ do złotówek'!AE27</f>
        <v>0</v>
      </c>
      <c r="S22" s="496">
        <f>'HSZ do złotówek'!AG27</f>
        <v>0</v>
      </c>
      <c r="T22" s="496">
        <v>0</v>
      </c>
      <c r="U22" s="496">
        <f>'HSZ do złotówek'!AI27</f>
        <v>0</v>
      </c>
      <c r="V22" s="496">
        <f>'HSZ do złotówek'!AJ27</f>
        <v>0</v>
      </c>
      <c r="W22" s="496">
        <f>'HSZ do złotówek'!AK27</f>
        <v>0</v>
      </c>
      <c r="X22" s="496">
        <f>'HSZ do złotówek'!AL27</f>
        <v>0</v>
      </c>
    </row>
    <row r="23" spans="1:24" s="491" customFormat="1" ht="12.75">
      <c r="A23" s="76"/>
      <c r="B23" s="88" t="s">
        <v>330</v>
      </c>
      <c r="C23" s="609" t="str">
        <f>'HSZ do złotówek'!A28</f>
        <v>pożyczka 2014</v>
      </c>
      <c r="D23" s="90">
        <f>SUM(G23:S23)</f>
        <v>4941761</v>
      </c>
      <c r="E23" s="91">
        <v>2014</v>
      </c>
      <c r="F23" s="482">
        <f>'HSZ do złotówek'!G28</f>
        <v>0</v>
      </c>
      <c r="G23" s="482">
        <f>'HSZ do złotówek'!I28</f>
        <v>0</v>
      </c>
      <c r="H23" s="486">
        <f>'HSZ do złotówek'!K28</f>
        <v>0</v>
      </c>
      <c r="I23" s="486">
        <f>'HSZ do złotówek'!M28</f>
        <v>0</v>
      </c>
      <c r="J23" s="486">
        <f>'HSZ do złotówek'!O28</f>
        <v>494177</v>
      </c>
      <c r="K23" s="486">
        <f>'HSZ do złotówek'!Q28</f>
        <v>494176</v>
      </c>
      <c r="L23" s="486">
        <f>'HSZ do złotówek'!S28</f>
        <v>494176</v>
      </c>
      <c r="M23" s="486">
        <f>'HSZ do złotówek'!U28</f>
        <v>494176</v>
      </c>
      <c r="N23" s="486">
        <f>'HSZ do złotówek'!W28</f>
        <v>494176</v>
      </c>
      <c r="O23" s="486">
        <f>'HSZ do złotówek'!Y28</f>
        <v>494176</v>
      </c>
      <c r="P23" s="486">
        <f>'HSZ do złotówek'!AA28</f>
        <v>494176</v>
      </c>
      <c r="Q23" s="486">
        <f>'HSZ do złotówek'!AC28</f>
        <v>494176</v>
      </c>
      <c r="R23" s="496">
        <f>'HSZ do złotówek'!AE28</f>
        <v>494176</v>
      </c>
      <c r="S23" s="496">
        <f>'HSZ do złotówek'!AG28</f>
        <v>494176</v>
      </c>
      <c r="T23" s="496">
        <v>0</v>
      </c>
      <c r="U23" s="496">
        <f>'HSZ do złotówek'!AI28</f>
        <v>0</v>
      </c>
      <c r="V23" s="496">
        <f>'HSZ do złotówek'!AJ28</f>
        <v>0</v>
      </c>
      <c r="W23" s="496">
        <f>'HSZ do złotówek'!AK28</f>
        <v>0</v>
      </c>
      <c r="X23" s="496">
        <f>'HSZ do złotówek'!AL28</f>
        <v>0</v>
      </c>
    </row>
    <row r="24" spans="1:24" s="491" customFormat="1" ht="12.75">
      <c r="A24" s="76"/>
      <c r="B24" s="88" t="s">
        <v>407</v>
      </c>
      <c r="C24" s="609" t="str">
        <f>'HSZ do złotówek'!A29</f>
        <v>pożyczka 2015</v>
      </c>
      <c r="D24" s="90">
        <f>SUM(J24:S24)</f>
        <v>0</v>
      </c>
      <c r="E24" s="91">
        <v>2015</v>
      </c>
      <c r="F24" s="482">
        <f>'HSZ do złotówek'!G29</f>
        <v>0</v>
      </c>
      <c r="G24" s="482">
        <f>'HSZ do złotówek'!I29</f>
        <v>0</v>
      </c>
      <c r="H24" s="486">
        <f>'HSZ do złotówek'!K29</f>
        <v>0</v>
      </c>
      <c r="I24" s="486">
        <f>'HSZ do złotówek'!M29</f>
        <v>0</v>
      </c>
      <c r="J24" s="486">
        <f>'HSZ do złotówek'!O29</f>
        <v>0</v>
      </c>
      <c r="K24" s="486">
        <f>'HSZ do złotówek'!Q29</f>
        <v>0</v>
      </c>
      <c r="L24" s="486">
        <f>'HSZ do złotówek'!S29</f>
        <v>0</v>
      </c>
      <c r="M24" s="486">
        <f>'HSZ do złotówek'!U29</f>
        <v>0</v>
      </c>
      <c r="N24" s="486">
        <f>'HSZ do złotówek'!W29</f>
        <v>0</v>
      </c>
      <c r="O24" s="486">
        <f>'HSZ do złotówek'!Y29</f>
        <v>0</v>
      </c>
      <c r="P24" s="486">
        <f>'HSZ do złotówek'!AA29</f>
        <v>0</v>
      </c>
      <c r="Q24" s="486">
        <f>'HSZ do złotówek'!AC29</f>
        <v>0</v>
      </c>
      <c r="R24" s="496">
        <f>'HSZ do złotówek'!AE29</f>
        <v>0</v>
      </c>
      <c r="S24" s="496">
        <f>'HSZ do złotówek'!AG29</f>
        <v>0</v>
      </c>
      <c r="T24" s="496">
        <v>0</v>
      </c>
      <c r="U24" s="496">
        <f>'HSZ do złotówek'!AI29</f>
        <v>0</v>
      </c>
      <c r="V24" s="496">
        <f>'HSZ do złotówek'!AJ29</f>
        <v>0</v>
      </c>
      <c r="W24" s="496">
        <f>'HSZ do złotówek'!AK29</f>
        <v>0</v>
      </c>
      <c r="X24" s="496">
        <f>'HSZ do złotówek'!AL29</f>
        <v>0</v>
      </c>
    </row>
    <row r="25" spans="1:24" s="491" customFormat="1" ht="23.25" customHeight="1">
      <c r="A25" s="76"/>
      <c r="B25" s="122">
        <v>2</v>
      </c>
      <c r="C25" s="889" t="s">
        <v>213</v>
      </c>
      <c r="D25" s="124"/>
      <c r="E25" s="124"/>
      <c r="F25" s="492">
        <f t="shared" ref="F25:R25" si="6">F26</f>
        <v>0</v>
      </c>
      <c r="G25" s="492">
        <f t="shared" si="6"/>
        <v>0</v>
      </c>
      <c r="H25" s="493">
        <f t="shared" si="6"/>
        <v>0</v>
      </c>
      <c r="I25" s="492">
        <f t="shared" si="6"/>
        <v>324000</v>
      </c>
      <c r="J25" s="492">
        <f t="shared" si="6"/>
        <v>324000</v>
      </c>
      <c r="K25" s="492">
        <f t="shared" si="6"/>
        <v>324000</v>
      </c>
      <c r="L25" s="492">
        <f t="shared" si="6"/>
        <v>324000</v>
      </c>
      <c r="M25" s="492">
        <f t="shared" si="6"/>
        <v>324000</v>
      </c>
      <c r="N25" s="492">
        <f t="shared" si="6"/>
        <v>324000</v>
      </c>
      <c r="O25" s="492">
        <f t="shared" si="6"/>
        <v>324000</v>
      </c>
      <c r="P25" s="493">
        <f t="shared" si="6"/>
        <v>324000</v>
      </c>
      <c r="Q25" s="493">
        <f t="shared" si="6"/>
        <v>324000</v>
      </c>
      <c r="R25" s="611">
        <f t="shared" si="6"/>
        <v>324000</v>
      </c>
      <c r="S25" s="611">
        <f t="shared" ref="S25:X25" si="7">S26</f>
        <v>324000</v>
      </c>
      <c r="T25" s="611">
        <f t="shared" si="7"/>
        <v>324000</v>
      </c>
      <c r="U25" s="611">
        <f t="shared" si="7"/>
        <v>312000</v>
      </c>
      <c r="V25" s="611">
        <f t="shared" si="7"/>
        <v>0</v>
      </c>
      <c r="W25" s="611">
        <f t="shared" si="7"/>
        <v>0</v>
      </c>
      <c r="X25" s="611">
        <f t="shared" si="7"/>
        <v>0</v>
      </c>
    </row>
    <row r="26" spans="1:24" s="491" customFormat="1" ht="18" customHeight="1">
      <c r="A26" s="76"/>
      <c r="B26" s="88" t="s">
        <v>26</v>
      </c>
      <c r="C26" s="92" t="s">
        <v>414</v>
      </c>
      <c r="D26" s="90">
        <f>SUM(F26:X26)</f>
        <v>4200000</v>
      </c>
      <c r="E26" s="91" t="s">
        <v>417</v>
      </c>
      <c r="F26" s="482"/>
      <c r="G26" s="482"/>
      <c r="H26" s="486">
        <f>'HSZ do złotówek'!K11</f>
        <v>0</v>
      </c>
      <c r="I26" s="486">
        <f>'HSZ do złotówek'!M11</f>
        <v>324000</v>
      </c>
      <c r="J26" s="486">
        <f>'HSZ do złotówek'!O11</f>
        <v>324000</v>
      </c>
      <c r="K26" s="486">
        <f>'HSZ do złotówek'!Q11</f>
        <v>324000</v>
      </c>
      <c r="L26" s="486">
        <f>'HSZ do złotówek'!S11</f>
        <v>324000</v>
      </c>
      <c r="M26" s="486">
        <f>'HSZ do złotówek'!U11</f>
        <v>324000</v>
      </c>
      <c r="N26" s="486">
        <f>'HSZ do złotówek'!W11</f>
        <v>324000</v>
      </c>
      <c r="O26" s="486">
        <f>'HSZ do złotówek'!Y11</f>
        <v>324000</v>
      </c>
      <c r="P26" s="486">
        <f>'HSZ do złotówek'!AA11</f>
        <v>324000</v>
      </c>
      <c r="Q26" s="486">
        <f>'HSZ do złotówek'!AC11</f>
        <v>324000</v>
      </c>
      <c r="R26" s="486">
        <f>'HSZ do złotówek'!AE11</f>
        <v>324000</v>
      </c>
      <c r="S26" s="486">
        <f>'HSZ do złotówek'!AG11</f>
        <v>324000</v>
      </c>
      <c r="T26" s="486">
        <f>'HSZ do złotówek'!AI11</f>
        <v>324000</v>
      </c>
      <c r="U26" s="482">
        <f>'HSZ do złotówek'!AK11</f>
        <v>312000</v>
      </c>
      <c r="V26" s="486">
        <f>'HSZ do złotówek'!AM11</f>
        <v>0</v>
      </c>
      <c r="W26" s="486">
        <f>'HSZ do złotówek'!AO11</f>
        <v>0</v>
      </c>
      <c r="X26" s="486">
        <f>'HSZ do złotówek'!AQ11</f>
        <v>0</v>
      </c>
    </row>
    <row r="27" spans="1:24" s="491" customFormat="1" ht="36" customHeight="1">
      <c r="A27" s="76"/>
      <c r="B27" s="85">
        <v>3</v>
      </c>
      <c r="C27" s="860" t="s">
        <v>214</v>
      </c>
      <c r="D27" s="87"/>
      <c r="E27" s="87"/>
      <c r="F27" s="478">
        <f>SUM(F28:F36)</f>
        <v>6300000</v>
      </c>
      <c r="G27" s="478">
        <f t="shared" ref="G27:R27" si="8">SUM(G28:G36)</f>
        <v>9500000</v>
      </c>
      <c r="H27" s="478">
        <f t="shared" si="8"/>
        <v>3500000</v>
      </c>
      <c r="I27" s="478">
        <f t="shared" si="8"/>
        <v>3900000</v>
      </c>
      <c r="J27" s="478">
        <f t="shared" si="8"/>
        <v>6000000</v>
      </c>
      <c r="K27" s="478">
        <f t="shared" si="8"/>
        <v>6000000</v>
      </c>
      <c r="L27" s="478">
        <f t="shared" si="8"/>
        <v>6000000</v>
      </c>
      <c r="M27" s="478">
        <f t="shared" si="8"/>
        <v>7000000</v>
      </c>
      <c r="N27" s="478">
        <f t="shared" si="8"/>
        <v>6300000</v>
      </c>
      <c r="O27" s="478">
        <f t="shared" si="8"/>
        <v>4000000</v>
      </c>
      <c r="P27" s="478">
        <f t="shared" si="8"/>
        <v>6000000</v>
      </c>
      <c r="Q27" s="478">
        <f t="shared" si="8"/>
        <v>5000000</v>
      </c>
      <c r="R27" s="612">
        <f t="shared" si="8"/>
        <v>3000000</v>
      </c>
      <c r="S27" s="612">
        <f t="shared" ref="S27" si="9">SUM(S28:S36)</f>
        <v>0</v>
      </c>
      <c r="T27" s="612">
        <f t="shared" ref="T27" si="10">SUM(T28:T36)</f>
        <v>0</v>
      </c>
      <c r="U27" s="612">
        <f t="shared" ref="U27:X27" si="11">SUM(U28:U36)</f>
        <v>0</v>
      </c>
      <c r="V27" s="612">
        <f t="shared" si="11"/>
        <v>0</v>
      </c>
      <c r="W27" s="612">
        <f t="shared" si="11"/>
        <v>0</v>
      </c>
      <c r="X27" s="612">
        <f t="shared" si="11"/>
        <v>0</v>
      </c>
    </row>
    <row r="28" spans="1:24" s="491" customFormat="1" ht="18" hidden="1" customHeight="1">
      <c r="A28" s="76"/>
      <c r="B28" s="88" t="s">
        <v>41</v>
      </c>
      <c r="C28" s="92" t="s">
        <v>216</v>
      </c>
      <c r="D28" s="90">
        <v>12850000</v>
      </c>
      <c r="E28" s="91">
        <v>2006</v>
      </c>
      <c r="F28" s="482">
        <f>'HSZ do złotówek'!G36</f>
        <v>6300000</v>
      </c>
      <c r="G28" s="482">
        <f>'HSZ do złotówek'!I36</f>
        <v>0</v>
      </c>
      <c r="H28" s="486">
        <f>'HSZ do złotówek'!K36</f>
        <v>0</v>
      </c>
      <c r="I28" s="486">
        <f>'HSZ do złotówek'!M36</f>
        <v>0</v>
      </c>
      <c r="J28" s="486">
        <f>'HSZ do złotówek'!O36</f>
        <v>0</v>
      </c>
      <c r="K28" s="486">
        <f>'HSZ do złotówek'!Q36</f>
        <v>0</v>
      </c>
      <c r="L28" s="486">
        <f>'HSZ do złotówek'!S36</f>
        <v>0</v>
      </c>
      <c r="M28" s="486">
        <f>'HSZ do złotówek'!U36</f>
        <v>0</v>
      </c>
      <c r="N28" s="486">
        <f>'HSZ do złotówek'!W36</f>
        <v>0</v>
      </c>
      <c r="O28" s="486">
        <f>'HSZ do złotówek'!Y36</f>
        <v>0</v>
      </c>
      <c r="P28" s="486">
        <f>'HSZ do złotówek'!AA36</f>
        <v>0</v>
      </c>
      <c r="Q28" s="486">
        <f>'HSZ do złotówek'!AC36</f>
        <v>0</v>
      </c>
      <c r="R28" s="496">
        <f>'HSZ do złotówek'!AE36</f>
        <v>0</v>
      </c>
      <c r="S28" s="496">
        <f>'HSZ do złotówek'!AF36</f>
        <v>0</v>
      </c>
      <c r="T28" s="496">
        <f>'HSZ do złotówek'!AG36</f>
        <v>0</v>
      </c>
      <c r="U28" s="496">
        <f>'HSZ do złotówek'!AH36</f>
        <v>0</v>
      </c>
      <c r="V28" s="496">
        <f>'HSZ do złotówek'!AI36</f>
        <v>0</v>
      </c>
      <c r="W28" s="496">
        <f>'HSZ do złotówek'!AJ36</f>
        <v>0</v>
      </c>
      <c r="X28" s="496">
        <f>'HSZ do złotówek'!AK36</f>
        <v>0</v>
      </c>
    </row>
    <row r="29" spans="1:24" s="491" customFormat="1" ht="17.25" customHeight="1">
      <c r="A29" s="76"/>
      <c r="B29" s="88" t="s">
        <v>215</v>
      </c>
      <c r="C29" s="92" t="s">
        <v>216</v>
      </c>
      <c r="D29" s="90">
        <v>2000000</v>
      </c>
      <c r="E29" s="91">
        <v>2008</v>
      </c>
      <c r="F29" s="482">
        <f>'HSZ do złotówek'!G37</f>
        <v>0</v>
      </c>
      <c r="G29" s="482">
        <f>'HSZ do złotówek'!I37</f>
        <v>2000000</v>
      </c>
      <c r="H29" s="486">
        <f>'HSZ do złotówek'!K37</f>
        <v>0</v>
      </c>
      <c r="I29" s="486">
        <f>'HSZ do złotówek'!M37</f>
        <v>0</v>
      </c>
      <c r="J29" s="486">
        <f>'HSZ do złotówek'!O37</f>
        <v>0</v>
      </c>
      <c r="K29" s="486">
        <f>'HSZ do złotówek'!Q37</f>
        <v>0</v>
      </c>
      <c r="L29" s="486">
        <f>'HSZ do złotówek'!S37</f>
        <v>0</v>
      </c>
      <c r="M29" s="486">
        <f>'HSZ do złotówek'!U37</f>
        <v>0</v>
      </c>
      <c r="N29" s="486">
        <f>'HSZ do złotówek'!W37</f>
        <v>0</v>
      </c>
      <c r="O29" s="486">
        <f>'HSZ do złotówek'!Y37</f>
        <v>0</v>
      </c>
      <c r="P29" s="486">
        <f>'HSZ do złotówek'!AA37</f>
        <v>0</v>
      </c>
      <c r="Q29" s="486">
        <f>'HSZ do złotówek'!AC37</f>
        <v>0</v>
      </c>
      <c r="R29" s="496">
        <f>'HSZ do złotówek'!AE37</f>
        <v>0</v>
      </c>
      <c r="S29" s="496">
        <f>'HSZ do złotówek'!AF37</f>
        <v>0</v>
      </c>
      <c r="T29" s="496">
        <f>'HSZ do złotówek'!AG37</f>
        <v>0</v>
      </c>
      <c r="U29" s="496">
        <f>'HSZ do złotówek'!AH37</f>
        <v>0</v>
      </c>
      <c r="V29" s="496">
        <f>'HSZ do złotówek'!AI37</f>
        <v>0</v>
      </c>
      <c r="W29" s="496">
        <f>'HSZ do złotówek'!AJ37</f>
        <v>0</v>
      </c>
      <c r="X29" s="496">
        <f>'HSZ do złotówek'!AK37</f>
        <v>0</v>
      </c>
    </row>
    <row r="30" spans="1:24" s="491" customFormat="1" ht="18" customHeight="1">
      <c r="A30" s="76"/>
      <c r="B30" s="88" t="s">
        <v>41</v>
      </c>
      <c r="C30" s="92" t="s">
        <v>218</v>
      </c>
      <c r="D30" s="90">
        <v>8900000</v>
      </c>
      <c r="E30" s="91">
        <v>2009</v>
      </c>
      <c r="F30" s="482">
        <f>'HSZ do złotówek'!G38</f>
        <v>0</v>
      </c>
      <c r="G30" s="482">
        <f>'HSZ do złotówek'!I38</f>
        <v>5000000</v>
      </c>
      <c r="H30" s="486">
        <f>'HSZ do złotówek'!K38</f>
        <v>3000000</v>
      </c>
      <c r="I30" s="486">
        <f>'HSZ do złotówek'!M38</f>
        <v>900000</v>
      </c>
      <c r="J30" s="486">
        <f>'HSZ do złotówek'!O38</f>
        <v>0</v>
      </c>
      <c r="K30" s="486">
        <f>'HSZ do złotówek'!Q38</f>
        <v>0</v>
      </c>
      <c r="L30" s="486">
        <f>'HSZ do złotówek'!S38</f>
        <v>0</v>
      </c>
      <c r="M30" s="486">
        <f>'HSZ do złotówek'!U38</f>
        <v>0</v>
      </c>
      <c r="N30" s="486">
        <f>'HSZ do złotówek'!W38</f>
        <v>0</v>
      </c>
      <c r="O30" s="486">
        <f>'HSZ do złotówek'!Y38</f>
        <v>0</v>
      </c>
      <c r="P30" s="486">
        <f>'HSZ do złotówek'!AA38</f>
        <v>0</v>
      </c>
      <c r="Q30" s="486">
        <f>'HSZ do złotówek'!AC38</f>
        <v>0</v>
      </c>
      <c r="R30" s="496">
        <f>'HSZ do złotówek'!AE38</f>
        <v>0</v>
      </c>
      <c r="S30" s="496">
        <f>'HSZ do złotówek'!AF38</f>
        <v>0</v>
      </c>
      <c r="T30" s="496">
        <f>'HSZ do złotówek'!AG38</f>
        <v>0</v>
      </c>
      <c r="U30" s="496">
        <f>'HSZ do złotówek'!AH38</f>
        <v>0</v>
      </c>
      <c r="V30" s="496">
        <f>'HSZ do złotówek'!AI38</f>
        <v>0</v>
      </c>
      <c r="W30" s="496">
        <f>'HSZ do złotówek'!AJ38</f>
        <v>0</v>
      </c>
      <c r="X30" s="496">
        <f>'HSZ do złotówek'!AK38</f>
        <v>0</v>
      </c>
    </row>
    <row r="31" spans="1:24" s="491" customFormat="1" ht="15.75" customHeight="1">
      <c r="A31" s="76"/>
      <c r="B31" s="88" t="s">
        <v>217</v>
      </c>
      <c r="C31" s="92" t="s">
        <v>229</v>
      </c>
      <c r="D31" s="90">
        <v>16000000</v>
      </c>
      <c r="E31" s="91">
        <v>2010</v>
      </c>
      <c r="F31" s="482">
        <f>'HSZ do złotówek'!G39</f>
        <v>0</v>
      </c>
      <c r="G31" s="482">
        <f>'HSZ do złotówek'!I39</f>
        <v>2000000</v>
      </c>
      <c r="H31" s="486">
        <f>'HSZ do złotówek'!K39</f>
        <v>0</v>
      </c>
      <c r="I31" s="486">
        <f>'HSZ do złotówek'!M39</f>
        <v>3000000</v>
      </c>
      <c r="J31" s="486">
        <f>'HSZ do złotówek'!O39</f>
        <v>5500000</v>
      </c>
      <c r="K31" s="486">
        <f>'HSZ do złotówek'!Q39</f>
        <v>5500000</v>
      </c>
      <c r="L31" s="486">
        <f>'HSZ do złotówek'!S39</f>
        <v>0</v>
      </c>
      <c r="M31" s="486">
        <f>'HSZ do złotówek'!U39</f>
        <v>0</v>
      </c>
      <c r="N31" s="486">
        <f>'HSZ do złotówek'!W39</f>
        <v>0</v>
      </c>
      <c r="O31" s="486">
        <f>'HSZ do złotówek'!Y39</f>
        <v>0</v>
      </c>
      <c r="P31" s="486">
        <f>'HSZ do złotówek'!AA39</f>
        <v>0</v>
      </c>
      <c r="Q31" s="486">
        <f>'HSZ do złotówek'!AC39</f>
        <v>0</v>
      </c>
      <c r="R31" s="496">
        <f>'HSZ do złotówek'!AE39</f>
        <v>0</v>
      </c>
      <c r="S31" s="496">
        <f>'HSZ do złotówek'!AF39</f>
        <v>0</v>
      </c>
      <c r="T31" s="496">
        <f>'HSZ do złotówek'!AG39</f>
        <v>0</v>
      </c>
      <c r="U31" s="496">
        <f>'HSZ do złotówek'!AH39</f>
        <v>0</v>
      </c>
      <c r="V31" s="496">
        <f>'HSZ do złotówek'!AI39</f>
        <v>0</v>
      </c>
      <c r="W31" s="496">
        <f>'HSZ do złotówek'!AJ39</f>
        <v>0</v>
      </c>
      <c r="X31" s="496">
        <f>'HSZ do złotówek'!AK39</f>
        <v>0</v>
      </c>
    </row>
    <row r="32" spans="1:24" s="491" customFormat="1" ht="16.5" customHeight="1">
      <c r="A32" s="76"/>
      <c r="B32" s="88" t="s">
        <v>219</v>
      </c>
      <c r="C32" s="92" t="s">
        <v>222</v>
      </c>
      <c r="D32" s="90">
        <v>10000000</v>
      </c>
      <c r="E32" s="91">
        <v>2011</v>
      </c>
      <c r="F32" s="482">
        <f>'HSZ do złotówek'!G40</f>
        <v>0</v>
      </c>
      <c r="G32" s="482">
        <f>'HSZ do złotówek'!I40</f>
        <v>500000</v>
      </c>
      <c r="H32" s="486">
        <f>'HSZ do złotówek'!K40</f>
        <v>500000</v>
      </c>
      <c r="I32" s="486">
        <f>'HSZ do złotówek'!M40</f>
        <v>0</v>
      </c>
      <c r="J32" s="486">
        <f>'HSZ do złotówek'!O40</f>
        <v>500000</v>
      </c>
      <c r="K32" s="486">
        <f>'HSZ do złotówek'!Q40</f>
        <v>500000</v>
      </c>
      <c r="L32" s="486">
        <f>'HSZ do złotówek'!S40</f>
        <v>4000000</v>
      </c>
      <c r="M32" s="486">
        <f>'HSZ do złotówek'!U40</f>
        <v>4000000</v>
      </c>
      <c r="N32" s="486">
        <f>'HSZ do złotówek'!W40</f>
        <v>0</v>
      </c>
      <c r="O32" s="486">
        <f>'HSZ do złotówek'!Y40</f>
        <v>0</v>
      </c>
      <c r="P32" s="486">
        <f>'HSZ do złotówek'!AA40</f>
        <v>0</v>
      </c>
      <c r="Q32" s="486">
        <f>'HSZ do złotówek'!AC40</f>
        <v>0</v>
      </c>
      <c r="R32" s="496">
        <f>'HSZ do złotówek'!AE40</f>
        <v>0</v>
      </c>
      <c r="S32" s="496">
        <f>'HSZ do złotówek'!AF40</f>
        <v>0</v>
      </c>
      <c r="T32" s="496">
        <f>'HSZ do złotówek'!AG40</f>
        <v>0</v>
      </c>
      <c r="U32" s="496">
        <f>'HSZ do złotówek'!AH40</f>
        <v>0</v>
      </c>
      <c r="V32" s="496">
        <f>'HSZ do złotówek'!AI40</f>
        <v>0</v>
      </c>
      <c r="W32" s="496">
        <f>'HSZ do złotówek'!AJ40</f>
        <v>0</v>
      </c>
      <c r="X32" s="496">
        <f>'HSZ do złotówek'!AK40</f>
        <v>0</v>
      </c>
    </row>
    <row r="33" spans="1:27" s="491" customFormat="1" ht="12.75" hidden="1">
      <c r="A33" s="76"/>
      <c r="B33" s="125"/>
      <c r="C33" s="126"/>
      <c r="D33" s="127"/>
      <c r="E33" s="127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7"/>
      <c r="S33" s="497"/>
      <c r="T33" s="497"/>
      <c r="U33" s="497"/>
      <c r="V33" s="497"/>
      <c r="W33" s="497"/>
      <c r="X33" s="497"/>
    </row>
    <row r="34" spans="1:27" s="491" customFormat="1" ht="21" customHeight="1">
      <c r="A34" s="76"/>
      <c r="B34" s="125" t="s">
        <v>221</v>
      </c>
      <c r="C34" s="870" t="s">
        <v>413</v>
      </c>
      <c r="D34" s="90">
        <f>SUM(F34:X34)</f>
        <v>9000000</v>
      </c>
      <c r="E34" s="91">
        <v>2012</v>
      </c>
      <c r="F34" s="482">
        <f>'HSZ do złotówek'!G44</f>
        <v>0</v>
      </c>
      <c r="G34" s="482">
        <f>'HSZ do złotówek'!I44</f>
        <v>0</v>
      </c>
      <c r="H34" s="486">
        <f>'HSZ do złotówek'!K44</f>
        <v>0</v>
      </c>
      <c r="I34" s="486">
        <f>'HSZ do złotówek'!M44</f>
        <v>0</v>
      </c>
      <c r="J34" s="486">
        <f>'HSZ do złotówek'!O44</f>
        <v>0</v>
      </c>
      <c r="K34" s="486">
        <f>'HSZ do złotówek'!Q44</f>
        <v>0</v>
      </c>
      <c r="L34" s="486">
        <f>'HSZ do złotówek'!S44</f>
        <v>2000000</v>
      </c>
      <c r="M34" s="486">
        <f>'HSZ do złotówek'!U44</f>
        <v>3000000</v>
      </c>
      <c r="N34" s="486">
        <f>'HSZ do złotówek'!W44</f>
        <v>4000000</v>
      </c>
      <c r="O34" s="486">
        <f>'HSZ do złotówek'!Y44</f>
        <v>0</v>
      </c>
      <c r="P34" s="486">
        <f>'HSZ do złotówek'!AA44</f>
        <v>0</v>
      </c>
      <c r="Q34" s="486">
        <f>'HSZ do złotówek'!AC44</f>
        <v>0</v>
      </c>
      <c r="R34" s="496">
        <f>'HSZ do złotówek'!AE44</f>
        <v>0</v>
      </c>
      <c r="S34" s="496">
        <f>'HSZ do złotówek'!AF44</f>
        <v>0</v>
      </c>
      <c r="T34" s="496">
        <f>'HSZ do złotówek'!AG44</f>
        <v>0</v>
      </c>
      <c r="U34" s="496">
        <f>'HSZ do złotówek'!AH44</f>
        <v>0</v>
      </c>
      <c r="V34" s="496">
        <f>'HSZ do złotówek'!AI44</f>
        <v>0</v>
      </c>
      <c r="W34" s="496">
        <f>'HSZ do złotówek'!AJ44</f>
        <v>0</v>
      </c>
      <c r="X34" s="496">
        <f>'HSZ do złotówek'!AK44</f>
        <v>0</v>
      </c>
    </row>
    <row r="35" spans="1:27" s="491" customFormat="1" ht="24.75" customHeight="1">
      <c r="A35" s="76"/>
      <c r="B35" s="884" t="s">
        <v>230</v>
      </c>
      <c r="C35" s="887" t="s">
        <v>424</v>
      </c>
      <c r="D35" s="885">
        <v>11300000</v>
      </c>
      <c r="E35" s="888">
        <v>2013</v>
      </c>
      <c r="F35" s="886"/>
      <c r="G35" s="886"/>
      <c r="H35" s="886"/>
      <c r="I35" s="886"/>
      <c r="J35" s="886"/>
      <c r="K35" s="886"/>
      <c r="L35" s="886"/>
      <c r="M35" s="886"/>
      <c r="N35" s="886">
        <f>SUM('HSZ do złotówek'!W46:W46)</f>
        <v>1300000</v>
      </c>
      <c r="O35" s="886">
        <f>SUM('HSZ do złotówek'!Y46:Y46)</f>
        <v>4000000</v>
      </c>
      <c r="P35" s="886">
        <f>SUM('HSZ do złotówek'!AA46:AA46)</f>
        <v>6000000</v>
      </c>
      <c r="Q35" s="886"/>
      <c r="R35" s="886"/>
      <c r="S35" s="886"/>
      <c r="T35" s="886"/>
      <c r="U35" s="886"/>
      <c r="V35" s="497"/>
      <c r="W35" s="497"/>
      <c r="X35" s="497"/>
    </row>
    <row r="36" spans="1:27" s="491" customFormat="1" ht="30" customHeight="1">
      <c r="A36" s="76"/>
      <c r="B36" s="88" t="s">
        <v>231</v>
      </c>
      <c r="C36" s="870" t="s">
        <v>223</v>
      </c>
      <c r="D36" s="90" t="s">
        <v>232</v>
      </c>
      <c r="E36" s="128" t="s">
        <v>232</v>
      </c>
      <c r="F36" s="482">
        <f>SUM('HSZ do złotówek'!G46:G57)</f>
        <v>0</v>
      </c>
      <c r="G36" s="482">
        <f>SUM('HSZ do złotówek'!I46:I57)</f>
        <v>0</v>
      </c>
      <c r="H36" s="486">
        <f>SUM('HSZ do złotówek'!K46:K57)</f>
        <v>0</v>
      </c>
      <c r="I36" s="486">
        <f>SUM('HSZ do złotówek'!M46:M57)</f>
        <v>0</v>
      </c>
      <c r="J36" s="486">
        <f>SUM('HSZ do złotówek'!O46:O57)</f>
        <v>0</v>
      </c>
      <c r="K36" s="486">
        <f>SUM('HSZ do złotówek'!Q46:Q57)</f>
        <v>0</v>
      </c>
      <c r="L36" s="486">
        <f>SUM('HSZ do złotówek'!S46:S57)</f>
        <v>0</v>
      </c>
      <c r="M36" s="486">
        <f>SUM('HSZ do złotówek'!U46:U57)</f>
        <v>0</v>
      </c>
      <c r="N36" s="486">
        <f>SUM('HSZ do złotówek'!W47:W57)</f>
        <v>1000000</v>
      </c>
      <c r="O36" s="486">
        <f>SUM('HSZ do złotówek'!Y47:Y57)</f>
        <v>0</v>
      </c>
      <c r="P36" s="486">
        <f>SUM('HSZ do złotówek'!AA47:AA57)</f>
        <v>0</v>
      </c>
      <c r="Q36" s="486">
        <f>SUM('HSZ do złotówek'!AC46:AC57)</f>
        <v>5000000</v>
      </c>
      <c r="R36" s="496">
        <f>SUM('HSZ do złotówek'!AE46:AE57)</f>
        <v>3000000</v>
      </c>
      <c r="S36" s="496">
        <f>SUM('HSZ do złotówek'!AG46:AG57)</f>
        <v>0</v>
      </c>
      <c r="T36" s="496">
        <f>SUM('HSZ do złotówek'!AH46:AH57)</f>
        <v>0</v>
      </c>
      <c r="U36" s="496">
        <f>SUM('HSZ do złotówek'!AI46:AI57)</f>
        <v>0</v>
      </c>
      <c r="V36" s="496">
        <f>SUM('HSZ do złotówek'!AJ46:AJ57)</f>
        <v>0</v>
      </c>
      <c r="W36" s="496">
        <f>SUM('HSZ do złotówek'!AK46:AK57)</f>
        <v>0</v>
      </c>
      <c r="X36" s="496">
        <f>SUM('HSZ do złotówek'!AL46:AL57)</f>
        <v>0</v>
      </c>
      <c r="Z36" s="610"/>
      <c r="AA36" s="610"/>
    </row>
    <row r="37" spans="1:27" s="491" customFormat="1" ht="26.25" customHeight="1">
      <c r="A37" s="76"/>
      <c r="B37" s="122">
        <v>4</v>
      </c>
      <c r="C37" s="123" t="s">
        <v>233</v>
      </c>
      <c r="D37" s="124"/>
      <c r="E37" s="124"/>
      <c r="F37" s="492">
        <f t="shared" ref="F37:M37" si="12">F27+F25+F8</f>
        <v>6998867</v>
      </c>
      <c r="G37" s="492">
        <f t="shared" si="12"/>
        <v>10160865</v>
      </c>
      <c r="H37" s="493">
        <f t="shared" si="12"/>
        <v>4101396</v>
      </c>
      <c r="I37" s="492">
        <f t="shared" si="12"/>
        <v>5237994</v>
      </c>
      <c r="J37" s="492">
        <f t="shared" si="12"/>
        <v>7868277</v>
      </c>
      <c r="K37" s="492">
        <f t="shared" si="12"/>
        <v>7838964</v>
      </c>
      <c r="L37" s="492">
        <f t="shared" si="12"/>
        <v>7787969</v>
      </c>
      <c r="M37" s="492">
        <f t="shared" si="12"/>
        <v>8691151</v>
      </c>
      <c r="N37" s="492">
        <f t="shared" ref="N37:R37" si="13">N27+N25+N8</f>
        <v>7970808</v>
      </c>
      <c r="O37" s="492">
        <f t="shared" si="13"/>
        <v>5670808</v>
      </c>
      <c r="P37" s="492">
        <f t="shared" si="13"/>
        <v>7670808</v>
      </c>
      <c r="Q37" s="492">
        <f t="shared" si="13"/>
        <v>6670808</v>
      </c>
      <c r="R37" s="611">
        <f t="shared" si="13"/>
        <v>4670808</v>
      </c>
      <c r="S37" s="611">
        <f t="shared" ref="S37" si="14">S27+S25+S8</f>
        <v>1670808</v>
      </c>
      <c r="T37" s="611">
        <f t="shared" ref="T37" si="15">T27+T25+T8</f>
        <v>1176632</v>
      </c>
      <c r="U37" s="611">
        <f t="shared" ref="U37:X37" si="16">U27+U25+U8</f>
        <v>1164630</v>
      </c>
      <c r="V37" s="611">
        <f t="shared" si="16"/>
        <v>0</v>
      </c>
      <c r="W37" s="611">
        <f t="shared" si="16"/>
        <v>0</v>
      </c>
      <c r="X37" s="611">
        <f t="shared" si="16"/>
        <v>0</v>
      </c>
    </row>
    <row r="38" spans="1:27" s="39" customFormat="1" ht="12.75">
      <c r="A38" s="102"/>
      <c r="B38" s="129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498"/>
      <c r="S38" s="498"/>
      <c r="T38" s="498"/>
      <c r="U38" s="498"/>
      <c r="V38" s="498"/>
      <c r="W38" s="498"/>
      <c r="X38" s="498"/>
    </row>
    <row r="39" spans="1:27" ht="38.25">
      <c r="B39" s="132">
        <v>5</v>
      </c>
      <c r="C39" s="133" t="s">
        <v>234</v>
      </c>
      <c r="D39" s="134"/>
      <c r="E39" s="134"/>
      <c r="F39" s="512">
        <f>'HSZ do złotówek'!H63</f>
        <v>2173467</v>
      </c>
      <c r="G39" s="512">
        <f>'HSZ do złotówek'!J63</f>
        <v>2980913</v>
      </c>
      <c r="H39" s="513">
        <f>'HSZ do złotówek'!L63</f>
        <v>2845891</v>
      </c>
      <c r="I39" s="512">
        <f>'HSZ do złotówek'!N63</f>
        <v>3487713</v>
      </c>
      <c r="J39" s="512">
        <f>'HSZ do złotówek'!P63</f>
        <v>3333397</v>
      </c>
      <c r="K39" s="512">
        <f>'HSZ do złotówek'!R63</f>
        <v>3014427</v>
      </c>
      <c r="L39" s="512">
        <f>'HSZ do złotówek'!T63</f>
        <v>2599044</v>
      </c>
      <c r="M39" s="512">
        <f>'HSZ do złotówek'!V63</f>
        <v>2218254</v>
      </c>
      <c r="N39" s="512">
        <f>'HSZ do złotówek'!X63</f>
        <v>1780027</v>
      </c>
      <c r="O39" s="512">
        <f>'HSZ do złotówek'!Z63</f>
        <v>1375046</v>
      </c>
      <c r="P39" s="513">
        <f>'HSZ do złotówek'!AB63</f>
        <v>1122527</v>
      </c>
      <c r="Q39" s="513">
        <f>'HSZ do złotówek'!AD63</f>
        <v>776043</v>
      </c>
      <c r="R39" s="514">
        <f>'HSZ do złotówek'!AF63</f>
        <v>359415</v>
      </c>
      <c r="S39" s="514">
        <f>'HSZ do złotówek'!AH63</f>
        <v>98668</v>
      </c>
      <c r="T39" s="514">
        <f>'HSZ do złotówek'!AJ63</f>
        <v>45700</v>
      </c>
      <c r="U39" s="514">
        <f>'HSZ do złotówek'!AL63</f>
        <v>24920</v>
      </c>
      <c r="V39" s="514">
        <f>'HSZ do złotówek'!AN63</f>
        <v>0</v>
      </c>
      <c r="W39" s="514">
        <f>'HSZ do złotówek'!AP63</f>
        <v>0</v>
      </c>
      <c r="X39" s="514">
        <f>'HSZ do złotówek'!AR63</f>
        <v>0</v>
      </c>
    </row>
    <row r="40" spans="1:27" ht="76.5">
      <c r="B40" s="135">
        <v>6</v>
      </c>
      <c r="C40" s="136" t="s">
        <v>235</v>
      </c>
      <c r="D40" s="137"/>
      <c r="E40" s="137"/>
      <c r="F40" s="138"/>
      <c r="G40" s="138"/>
      <c r="H40" s="139"/>
      <c r="I40" s="138"/>
      <c r="J40" s="138"/>
      <c r="K40" s="138"/>
      <c r="L40" s="138"/>
      <c r="M40" s="138"/>
      <c r="N40" s="138"/>
      <c r="O40" s="138"/>
      <c r="P40" s="139"/>
      <c r="Q40" s="139"/>
      <c r="R40" s="499"/>
      <c r="S40" s="499"/>
      <c r="T40" s="499"/>
      <c r="U40" s="499"/>
      <c r="V40" s="499"/>
      <c r="W40" s="499"/>
      <c r="X40" s="499"/>
    </row>
    <row r="41" spans="1:27" s="39" customFormat="1" ht="12.75">
      <c r="A41" s="102"/>
      <c r="B41" s="129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498"/>
      <c r="S41" s="498"/>
      <c r="T41" s="498"/>
      <c r="U41" s="498"/>
      <c r="V41" s="498"/>
      <c r="W41" s="498"/>
      <c r="X41" s="498"/>
    </row>
    <row r="42" spans="1:27" ht="38.25">
      <c r="B42" s="140">
        <v>7</v>
      </c>
      <c r="C42" s="141" t="s">
        <v>236</v>
      </c>
      <c r="D42" s="142"/>
      <c r="E42" s="142"/>
      <c r="F42" s="143">
        <v>3277566</v>
      </c>
      <c r="G42" s="143">
        <f>'Przeds Poręczenia'!Q100</f>
        <v>3246163.76</v>
      </c>
      <c r="H42" s="143">
        <f>'Przeds Poręczenia'!R100</f>
        <v>2947112.5300000003</v>
      </c>
      <c r="I42" s="143">
        <f>'Przeds Poręczenia'!S100</f>
        <v>3391577.09</v>
      </c>
      <c r="J42" s="143">
        <f>'Przeds Poręczenia'!T100</f>
        <v>3502852.83</v>
      </c>
      <c r="K42" s="143">
        <f>'Przeds Poręczenia'!U100</f>
        <v>3446655.8499999996</v>
      </c>
      <c r="L42" s="143">
        <f>'Przeds Poręczenia'!V100</f>
        <v>3393155.6999999997</v>
      </c>
      <c r="M42" s="143">
        <f>'Przeds Poręczenia'!W100</f>
        <v>3336504.11</v>
      </c>
      <c r="N42" s="143">
        <f>'Przeds Poręczenia'!X100</f>
        <v>3126489.8899999997</v>
      </c>
      <c r="O42" s="143">
        <f>'Przeds Poręczenia'!Y100</f>
        <v>2111375.58</v>
      </c>
      <c r="P42" s="143">
        <f>'Przeds Poręczenia'!Z100</f>
        <v>735970.95</v>
      </c>
      <c r="Q42" s="143">
        <f>'Przeds Poręczenia'!AA100</f>
        <v>122000</v>
      </c>
      <c r="R42" s="500">
        <f>'poreczenia nieaktualne'!AB96</f>
        <v>0</v>
      </c>
      <c r="S42" s="500">
        <f>'poreczenia nieaktualne'!AC96</f>
        <v>0</v>
      </c>
      <c r="T42" s="500">
        <f>'poreczenia nieaktualne'!AD96</f>
        <v>0</v>
      </c>
      <c r="U42" s="500">
        <f>'poreczenia nieaktualne'!AE96</f>
        <v>0</v>
      </c>
      <c r="V42" s="500">
        <f>'poreczenia nieaktualne'!AF96</f>
        <v>0</v>
      </c>
      <c r="W42" s="500">
        <f>'poreczenia nieaktualne'!AG96</f>
        <v>0</v>
      </c>
      <c r="X42" s="500">
        <f>'poreczenia nieaktualne'!AH96</f>
        <v>0</v>
      </c>
    </row>
    <row r="43" spans="1:27" ht="63.75">
      <c r="B43" s="144">
        <v>8</v>
      </c>
      <c r="C43" s="145" t="s">
        <v>237</v>
      </c>
      <c r="D43" s="146"/>
      <c r="E43" s="146"/>
      <c r="F43" s="147"/>
      <c r="G43" s="147"/>
      <c r="H43" s="148"/>
      <c r="I43" s="147"/>
      <c r="J43" s="147"/>
      <c r="K43" s="147"/>
      <c r="L43" s="147"/>
      <c r="M43" s="147"/>
      <c r="N43" s="147"/>
      <c r="O43" s="147"/>
      <c r="P43" s="148"/>
      <c r="Q43" s="148"/>
      <c r="R43" s="501"/>
      <c r="S43" s="501"/>
      <c r="T43" s="501"/>
      <c r="U43" s="501"/>
      <c r="V43" s="501"/>
      <c r="W43" s="501"/>
      <c r="X43" s="501"/>
    </row>
    <row r="44" spans="1:27" ht="63.75">
      <c r="B44" s="144">
        <v>9</v>
      </c>
      <c r="C44" s="145" t="s">
        <v>238</v>
      </c>
      <c r="D44" s="146"/>
      <c r="E44" s="146"/>
      <c r="F44" s="147"/>
      <c r="G44" s="147"/>
      <c r="H44" s="148"/>
      <c r="I44" s="147"/>
      <c r="J44" s="147"/>
      <c r="K44" s="147"/>
      <c r="L44" s="147"/>
      <c r="M44" s="147"/>
      <c r="N44" s="147"/>
      <c r="O44" s="147"/>
      <c r="P44" s="148"/>
      <c r="Q44" s="148"/>
      <c r="R44" s="501"/>
      <c r="S44" s="501"/>
      <c r="T44" s="501"/>
      <c r="U44" s="501"/>
      <c r="V44" s="501"/>
      <c r="W44" s="501"/>
      <c r="X44" s="501"/>
    </row>
    <row r="45" spans="1:27" s="39" customFormat="1" ht="12.75">
      <c r="A45" s="102"/>
      <c r="B45" s="129"/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498"/>
      <c r="S45" s="498"/>
      <c r="T45" s="498"/>
      <c r="U45" s="498"/>
      <c r="V45" s="498"/>
      <c r="W45" s="498"/>
      <c r="X45" s="498"/>
    </row>
    <row r="46" spans="1:27" ht="38.25">
      <c r="B46" s="149">
        <v>10</v>
      </c>
      <c r="C46" s="150" t="s">
        <v>239</v>
      </c>
      <c r="D46" s="151"/>
      <c r="E46" s="151"/>
      <c r="F46" s="152">
        <f t="shared" ref="F46:P46" si="17">F37+F39+F40+F42</f>
        <v>12449900</v>
      </c>
      <c r="G46" s="152">
        <f t="shared" si="17"/>
        <v>16387941.76</v>
      </c>
      <c r="H46" s="153">
        <f t="shared" si="17"/>
        <v>9894399.5300000012</v>
      </c>
      <c r="I46" s="152">
        <f t="shared" si="17"/>
        <v>12117284.09</v>
      </c>
      <c r="J46" s="152">
        <f t="shared" si="17"/>
        <v>14704526.83</v>
      </c>
      <c r="K46" s="152">
        <f t="shared" si="17"/>
        <v>14300046.85</v>
      </c>
      <c r="L46" s="152">
        <f t="shared" si="17"/>
        <v>13780168.699999999</v>
      </c>
      <c r="M46" s="152">
        <f t="shared" si="17"/>
        <v>14245909.109999999</v>
      </c>
      <c r="N46" s="152">
        <f t="shared" si="17"/>
        <v>12877324.890000001</v>
      </c>
      <c r="O46" s="152">
        <f t="shared" si="17"/>
        <v>9157229.5800000001</v>
      </c>
      <c r="P46" s="153">
        <f t="shared" si="17"/>
        <v>9529305.9499999993</v>
      </c>
      <c r="Q46" s="153">
        <f t="shared" ref="Q46:X46" si="18">Q37+Q39+Q40+Q42</f>
        <v>7568851</v>
      </c>
      <c r="R46" s="502">
        <f t="shared" si="18"/>
        <v>5030223</v>
      </c>
      <c r="S46" s="502">
        <f t="shared" si="18"/>
        <v>1769476</v>
      </c>
      <c r="T46" s="502">
        <f t="shared" si="18"/>
        <v>1222332</v>
      </c>
      <c r="U46" s="502">
        <f t="shared" si="18"/>
        <v>1189550</v>
      </c>
      <c r="V46" s="502">
        <f t="shared" si="18"/>
        <v>0</v>
      </c>
      <c r="W46" s="502">
        <f t="shared" si="18"/>
        <v>0</v>
      </c>
      <c r="X46" s="502">
        <f t="shared" si="18"/>
        <v>0</v>
      </c>
    </row>
    <row r="47" spans="1:27" s="39" customFormat="1" ht="12.75">
      <c r="A47" s="102"/>
      <c r="B47" s="129"/>
      <c r="C47" s="130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498"/>
      <c r="S47" s="498"/>
      <c r="T47" s="498"/>
      <c r="U47" s="498"/>
      <c r="V47" s="498"/>
      <c r="W47" s="498"/>
      <c r="X47" s="498"/>
    </row>
    <row r="48" spans="1:27" ht="25.5">
      <c r="B48" s="154">
        <v>11</v>
      </c>
      <c r="C48" s="155" t="s">
        <v>226</v>
      </c>
      <c r="D48" s="156"/>
      <c r="E48" s="156"/>
      <c r="F48" s="157">
        <f>'WPF styczeń 2013'!G7</f>
        <v>162361778</v>
      </c>
      <c r="G48" s="157">
        <f>'WPF styczeń 2013'!H7</f>
        <v>171964494.77000001</v>
      </c>
      <c r="H48" s="157">
        <f>'WPF styczeń 2013'!I7</f>
        <v>0</v>
      </c>
      <c r="I48" s="157">
        <f>'WPF styczeń 2013'!J7</f>
        <v>0</v>
      </c>
      <c r="J48" s="157">
        <f>'WPF styczeń 2013'!K7</f>
        <v>0</v>
      </c>
      <c r="K48" s="157">
        <f>'WPF styczeń 2013'!L7</f>
        <v>0</v>
      </c>
      <c r="L48" s="157">
        <f>'WPF styczeń 2013'!M7</f>
        <v>0</v>
      </c>
      <c r="M48" s="157">
        <f>'WPF styczeń 2013'!N7</f>
        <v>0</v>
      </c>
      <c r="N48" s="157">
        <f>'WPF styczeń 2013'!O7</f>
        <v>0</v>
      </c>
      <c r="O48" s="157">
        <f>'WPF styczeń 2013'!P7</f>
        <v>0</v>
      </c>
      <c r="P48" s="157">
        <f>'WPF styczeń 2013'!Q7</f>
        <v>0</v>
      </c>
      <c r="Q48" s="157">
        <f>'WPF styczeń 2013'!R7</f>
        <v>0</v>
      </c>
      <c r="R48" s="503">
        <f>'WPF styczeń 2013'!S7</f>
        <v>0</v>
      </c>
      <c r="S48" s="503">
        <f>'WPF styczeń 2013'!T7</f>
        <v>0</v>
      </c>
      <c r="T48" s="503">
        <f>'WPF styczeń 2013'!U7</f>
        <v>0</v>
      </c>
      <c r="U48" s="503">
        <f>'WPF styczeń 2013'!V7</f>
        <v>0</v>
      </c>
      <c r="V48" s="503">
        <f>'WPF styczeń 2013'!AC7</f>
        <v>4000000</v>
      </c>
      <c r="W48" s="503">
        <f>'WPF styczeń 2013'!AD7</f>
        <v>3000000</v>
      </c>
      <c r="X48" s="503">
        <f>'WPF styczeń 2013'!AE7</f>
        <v>3000000</v>
      </c>
    </row>
    <row r="49" spans="1:24" ht="18.75" customHeight="1">
      <c r="B49" s="158">
        <v>12</v>
      </c>
      <c r="C49" s="159" t="s">
        <v>97</v>
      </c>
      <c r="D49" s="160"/>
      <c r="E49" s="160"/>
      <c r="F49" s="161">
        <f>'WPF styczeń 2013'!G11</f>
        <v>144745343.03999999</v>
      </c>
      <c r="G49" s="161">
        <f>'WPF styczeń 2013'!H11</f>
        <v>151895608.09</v>
      </c>
      <c r="H49" s="161">
        <f>'WPF styczeń 2013'!I11</f>
        <v>0</v>
      </c>
      <c r="I49" s="161">
        <f>'WPF styczeń 2013'!J11</f>
        <v>0</v>
      </c>
      <c r="J49" s="161">
        <f>'WPF styczeń 2013'!K11</f>
        <v>0</v>
      </c>
      <c r="K49" s="161">
        <f>'WPF styczeń 2013'!L11</f>
        <v>0</v>
      </c>
      <c r="L49" s="161">
        <f>'WPF styczeń 2013'!M11</f>
        <v>0</v>
      </c>
      <c r="M49" s="161">
        <f>'WPF styczeń 2013'!N11</f>
        <v>0</v>
      </c>
      <c r="N49" s="161">
        <f>'WPF styczeń 2013'!O11</f>
        <v>0</v>
      </c>
      <c r="O49" s="161">
        <f>'WPF styczeń 2013'!P11</f>
        <v>0</v>
      </c>
      <c r="P49" s="161">
        <f>'WPF styczeń 2013'!Q11</f>
        <v>0</v>
      </c>
      <c r="Q49" s="161">
        <f>'WPF styczeń 2013'!R11</f>
        <v>0</v>
      </c>
      <c r="R49" s="504">
        <f>'WPF styczeń 2013'!S11</f>
        <v>0</v>
      </c>
      <c r="S49" s="504">
        <f>'WPF styczeń 2013'!T11</f>
        <v>0</v>
      </c>
      <c r="T49" s="504">
        <f>'WPF styczeń 2013'!U11</f>
        <v>0</v>
      </c>
      <c r="U49" s="504">
        <f>'WPF styczeń 2013'!V11</f>
        <v>0</v>
      </c>
      <c r="V49" s="504">
        <f>'WPF styczeń 2013'!AC11</f>
        <v>0</v>
      </c>
      <c r="W49" s="504">
        <f>'WPF styczeń 2013'!AD11</f>
        <v>0</v>
      </c>
      <c r="X49" s="504">
        <f>'WPF styczeń 2013'!AE11</f>
        <v>0</v>
      </c>
    </row>
    <row r="50" spans="1:24" ht="18.75" customHeight="1">
      <c r="B50" s="162">
        <v>13</v>
      </c>
      <c r="C50" s="163" t="s">
        <v>240</v>
      </c>
      <c r="D50" s="164"/>
      <c r="E50" s="164"/>
      <c r="F50" s="165">
        <f>'WPF styczeń 2013'!G26</f>
        <v>7399706.7599999998</v>
      </c>
      <c r="G50" s="165">
        <f>'WPF styczeń 2013'!H26</f>
        <v>13482148.18</v>
      </c>
      <c r="H50" s="165">
        <f>'WPF styczeń 2013'!I26</f>
        <v>0</v>
      </c>
      <c r="I50" s="165">
        <f>'WPF styczeń 2013'!J26</f>
        <v>0</v>
      </c>
      <c r="J50" s="165">
        <f>'WPF styczeń 2013'!K26</f>
        <v>0</v>
      </c>
      <c r="K50" s="165">
        <f>'WPF styczeń 2013'!L26</f>
        <v>0</v>
      </c>
      <c r="L50" s="165">
        <f>'WPF styczeń 2013'!M26</f>
        <v>0</v>
      </c>
      <c r="M50" s="165">
        <f>'WPF styczeń 2013'!N26</f>
        <v>0</v>
      </c>
      <c r="N50" s="165">
        <f>'WPF styczeń 2013'!O26</f>
        <v>0</v>
      </c>
      <c r="O50" s="165">
        <f>'WPF styczeń 2013'!P26</f>
        <v>0</v>
      </c>
      <c r="P50" s="165">
        <f>'WPF styczeń 2013'!Q26</f>
        <v>0</v>
      </c>
      <c r="Q50" s="165">
        <f>'WPF styczeń 2013'!R26</f>
        <v>0</v>
      </c>
      <c r="R50" s="505">
        <f>'WPF styczeń 2013'!S26</f>
        <v>0</v>
      </c>
      <c r="S50" s="505">
        <f>'WPF styczeń 2013'!T26</f>
        <v>0</v>
      </c>
      <c r="T50" s="505">
        <f>'WPF styczeń 2013'!U26</f>
        <v>0</v>
      </c>
      <c r="U50" s="505">
        <f>'WPF styczeń 2013'!V26</f>
        <v>0</v>
      </c>
      <c r="V50" s="505">
        <f>'WPF styczeń 2013'!AC26</f>
        <v>1000000</v>
      </c>
      <c r="W50" s="505">
        <f>'WPF styczeń 2013'!AD26</f>
        <v>0</v>
      </c>
      <c r="X50" s="505">
        <f>'WPF styczeń 2013'!AE26</f>
        <v>0</v>
      </c>
    </row>
    <row r="51" spans="1:24" s="39" customFormat="1" ht="18" customHeight="1">
      <c r="A51" s="102"/>
      <c r="B51" s="166">
        <v>14</v>
      </c>
      <c r="C51" s="167" t="s">
        <v>241</v>
      </c>
      <c r="D51" s="168"/>
      <c r="E51" s="168"/>
      <c r="F51" s="169">
        <f>'WPF styczeń 2013'!G12</f>
        <v>146209917.31999999</v>
      </c>
      <c r="G51" s="169">
        <f>'WPF styczeń 2013'!H12</f>
        <v>157150486.68000001</v>
      </c>
      <c r="H51" s="169">
        <f>'WPF styczeń 2013'!I12</f>
        <v>0</v>
      </c>
      <c r="I51" s="169">
        <f>'WPF styczeń 2013'!J12</f>
        <v>0</v>
      </c>
      <c r="J51" s="169">
        <f>'WPF styczeń 2013'!K12</f>
        <v>0</v>
      </c>
      <c r="K51" s="169">
        <f>'WPF styczeń 2013'!L12</f>
        <v>0</v>
      </c>
      <c r="L51" s="169">
        <f>'WPF styczeń 2013'!M12</f>
        <v>0</v>
      </c>
      <c r="M51" s="169">
        <f>'WPF styczeń 2013'!N12</f>
        <v>0</v>
      </c>
      <c r="N51" s="169">
        <f>'WPF styczeń 2013'!O12</f>
        <v>0</v>
      </c>
      <c r="O51" s="169">
        <f>'WPF styczeń 2013'!P12</f>
        <v>0</v>
      </c>
      <c r="P51" s="169">
        <f>'WPF styczeń 2013'!Q12</f>
        <v>0</v>
      </c>
      <c r="Q51" s="169">
        <f>'WPF styczeń 2013'!R12</f>
        <v>0</v>
      </c>
      <c r="R51" s="506">
        <f>'WPF styczeń 2013'!S12</f>
        <v>0</v>
      </c>
      <c r="S51" s="506">
        <f>'WPF styczeń 2013'!T12</f>
        <v>0</v>
      </c>
      <c r="T51" s="506">
        <f>'WPF styczeń 2013'!U12</f>
        <v>0</v>
      </c>
      <c r="U51" s="506">
        <f>'WPF styczeń 2013'!V12</f>
        <v>0</v>
      </c>
      <c r="V51" s="506">
        <f>'WPF styczeń 2013'!AC12</f>
        <v>0</v>
      </c>
      <c r="W51" s="506">
        <f>'WPF styczeń 2013'!AD12</f>
        <v>0</v>
      </c>
      <c r="X51" s="506">
        <f>'WPF styczeń 2013'!AE12</f>
        <v>0</v>
      </c>
    </row>
    <row r="52" spans="1:24" s="39" customFormat="1" ht="12.75">
      <c r="A52" s="102"/>
      <c r="B52" s="129"/>
      <c r="C52" s="170"/>
      <c r="D52" s="171"/>
      <c r="E52" s="171"/>
      <c r="F52" s="171"/>
      <c r="G52" s="171" t="s">
        <v>242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507"/>
      <c r="S52" s="507"/>
      <c r="T52" s="507"/>
      <c r="U52" s="507"/>
      <c r="V52" s="507"/>
      <c r="W52" s="507"/>
      <c r="X52" s="507"/>
    </row>
    <row r="53" spans="1:24" ht="15.75" customHeight="1">
      <c r="B53" s="172">
        <v>15</v>
      </c>
      <c r="C53" s="173" t="s">
        <v>243</v>
      </c>
      <c r="D53" s="174"/>
      <c r="E53" s="174"/>
      <c r="F53" s="175">
        <f>F49-F51</f>
        <v>-1464574.2800000012</v>
      </c>
      <c r="G53" s="175">
        <f t="shared" ref="G53:P53" si="19">G49-G51</f>
        <v>-5254878.5900000036</v>
      </c>
      <c r="H53" s="175">
        <f t="shared" si="19"/>
        <v>0</v>
      </c>
      <c r="I53" s="175">
        <f t="shared" si="19"/>
        <v>0</v>
      </c>
      <c r="J53" s="175">
        <f t="shared" si="19"/>
        <v>0</v>
      </c>
      <c r="K53" s="175">
        <f t="shared" si="19"/>
        <v>0</v>
      </c>
      <c r="L53" s="175">
        <f t="shared" si="19"/>
        <v>0</v>
      </c>
      <c r="M53" s="175">
        <f t="shared" si="19"/>
        <v>0</v>
      </c>
      <c r="N53" s="175">
        <f t="shared" si="19"/>
        <v>0</v>
      </c>
      <c r="O53" s="175">
        <f t="shared" si="19"/>
        <v>0</v>
      </c>
      <c r="P53" s="175">
        <f t="shared" si="19"/>
        <v>0</v>
      </c>
      <c r="Q53" s="175">
        <f t="shared" ref="Q53:X53" si="20">Q49-Q51</f>
        <v>0</v>
      </c>
      <c r="R53" s="175">
        <f t="shared" si="20"/>
        <v>0</v>
      </c>
      <c r="S53" s="175">
        <f t="shared" si="20"/>
        <v>0</v>
      </c>
      <c r="T53" s="175">
        <f t="shared" si="20"/>
        <v>0</v>
      </c>
      <c r="U53" s="175">
        <f t="shared" si="20"/>
        <v>0</v>
      </c>
      <c r="V53" s="175">
        <f t="shared" si="20"/>
        <v>0</v>
      </c>
      <c r="W53" s="175">
        <f t="shared" si="20"/>
        <v>0</v>
      </c>
      <c r="X53" s="175">
        <f t="shared" si="20"/>
        <v>0</v>
      </c>
    </row>
    <row r="54" spans="1:24" s="39" customFormat="1" ht="12.75">
      <c r="A54" s="102"/>
      <c r="B54" s="129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507"/>
      <c r="S54" s="507"/>
      <c r="T54" s="507"/>
      <c r="U54" s="507"/>
      <c r="V54" s="507"/>
      <c r="W54" s="507"/>
      <c r="X54" s="507"/>
    </row>
    <row r="55" spans="1:24" ht="38.25">
      <c r="B55" s="176">
        <v>16</v>
      </c>
      <c r="C55" s="177" t="s">
        <v>244</v>
      </c>
      <c r="D55" s="178"/>
      <c r="E55" s="178"/>
      <c r="F55" s="179">
        <f t="shared" ref="F55:P55" si="21">ROUND(F46/F48*100,2)</f>
        <v>7.67</v>
      </c>
      <c r="G55" s="179">
        <f t="shared" si="21"/>
        <v>9.5299999999999994</v>
      </c>
      <c r="H55" s="179" t="e">
        <f t="shared" si="21"/>
        <v>#DIV/0!</v>
      </c>
      <c r="I55" s="179" t="e">
        <f t="shared" si="21"/>
        <v>#DIV/0!</v>
      </c>
      <c r="J55" s="179" t="e">
        <f t="shared" si="21"/>
        <v>#DIV/0!</v>
      </c>
      <c r="K55" s="179" t="e">
        <f t="shared" si="21"/>
        <v>#DIV/0!</v>
      </c>
      <c r="L55" s="179" t="e">
        <f t="shared" si="21"/>
        <v>#DIV/0!</v>
      </c>
      <c r="M55" s="179" t="e">
        <f t="shared" si="21"/>
        <v>#DIV/0!</v>
      </c>
      <c r="N55" s="179" t="e">
        <f t="shared" si="21"/>
        <v>#DIV/0!</v>
      </c>
      <c r="O55" s="179" t="e">
        <f t="shared" si="21"/>
        <v>#DIV/0!</v>
      </c>
      <c r="P55" s="179" t="e">
        <f t="shared" si="21"/>
        <v>#DIV/0!</v>
      </c>
      <c r="Q55" s="179" t="e">
        <f t="shared" ref="Q55:X55" si="22">ROUND(Q46/Q48*100,2)</f>
        <v>#DIV/0!</v>
      </c>
      <c r="R55" s="508" t="e">
        <f t="shared" si="22"/>
        <v>#DIV/0!</v>
      </c>
      <c r="S55" s="508" t="e">
        <f t="shared" si="22"/>
        <v>#DIV/0!</v>
      </c>
      <c r="T55" s="508" t="e">
        <f t="shared" si="22"/>
        <v>#DIV/0!</v>
      </c>
      <c r="U55" s="508" t="e">
        <f t="shared" si="22"/>
        <v>#DIV/0!</v>
      </c>
      <c r="V55" s="508">
        <f t="shared" si="22"/>
        <v>0</v>
      </c>
      <c r="W55" s="508">
        <f t="shared" si="22"/>
        <v>0</v>
      </c>
      <c r="X55" s="508">
        <f t="shared" si="22"/>
        <v>0</v>
      </c>
    </row>
    <row r="56" spans="1:24" ht="58.5" customHeight="1">
      <c r="B56" s="180">
        <v>17</v>
      </c>
      <c r="C56" s="871" t="s">
        <v>245</v>
      </c>
      <c r="D56" s="181"/>
      <c r="E56" s="181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509"/>
      <c r="S56" s="509"/>
      <c r="T56" s="509"/>
      <c r="U56" s="509"/>
      <c r="V56" s="509"/>
      <c r="W56" s="509"/>
      <c r="X56" s="509"/>
    </row>
    <row r="57" spans="1:24" ht="38.25">
      <c r="B57" s="183">
        <v>18</v>
      </c>
      <c r="C57" s="184" t="s">
        <v>246</v>
      </c>
      <c r="D57" s="185"/>
      <c r="E57" s="185"/>
      <c r="F57" s="186">
        <f t="shared" ref="F57:H57" si="23">ROUND((SUM(F42+F37+F39)/F48),4)</f>
        <v>7.6700000000000004E-2</v>
      </c>
      <c r="G57" s="186">
        <f t="shared" si="23"/>
        <v>9.5299999999999996E-2</v>
      </c>
      <c r="H57" s="186" t="e">
        <f t="shared" si="23"/>
        <v>#DIV/0!</v>
      </c>
      <c r="I57" s="186" t="e">
        <f>ROUND((SUM(I42+I37+I39)/I48),4)</f>
        <v>#DIV/0!</v>
      </c>
      <c r="J57" s="186" t="e">
        <f t="shared" ref="J57:P57" si="24">ROUND((SUM(J42+J37+J39)/J48),4)</f>
        <v>#DIV/0!</v>
      </c>
      <c r="K57" s="186" t="e">
        <f t="shared" si="24"/>
        <v>#DIV/0!</v>
      </c>
      <c r="L57" s="186" t="e">
        <f t="shared" si="24"/>
        <v>#DIV/0!</v>
      </c>
      <c r="M57" s="186" t="e">
        <f t="shared" si="24"/>
        <v>#DIV/0!</v>
      </c>
      <c r="N57" s="186" t="e">
        <f t="shared" si="24"/>
        <v>#DIV/0!</v>
      </c>
      <c r="O57" s="186" t="e">
        <f t="shared" si="24"/>
        <v>#DIV/0!</v>
      </c>
      <c r="P57" s="186" t="e">
        <f t="shared" si="24"/>
        <v>#DIV/0!</v>
      </c>
      <c r="Q57" s="186" t="e">
        <f t="shared" ref="Q57:X57" si="25">ROUND((SUM(Q42+Q37+Q39)/Q48),4)</f>
        <v>#DIV/0!</v>
      </c>
      <c r="R57" s="510" t="e">
        <f t="shared" si="25"/>
        <v>#DIV/0!</v>
      </c>
      <c r="S57" s="510" t="e">
        <f t="shared" si="25"/>
        <v>#DIV/0!</v>
      </c>
      <c r="T57" s="510" t="e">
        <f t="shared" si="25"/>
        <v>#DIV/0!</v>
      </c>
      <c r="U57" s="510" t="e">
        <f t="shared" si="25"/>
        <v>#DIV/0!</v>
      </c>
      <c r="V57" s="510">
        <f t="shared" si="25"/>
        <v>0</v>
      </c>
      <c r="W57" s="510">
        <f t="shared" si="25"/>
        <v>0</v>
      </c>
      <c r="X57" s="510">
        <f t="shared" si="25"/>
        <v>0</v>
      </c>
    </row>
    <row r="58" spans="1:24" ht="45" customHeight="1" thickBot="1">
      <c r="B58" s="187">
        <v>19</v>
      </c>
      <c r="C58" s="188" t="s">
        <v>247</v>
      </c>
      <c r="D58" s="189"/>
      <c r="E58" s="189"/>
      <c r="F58" s="190">
        <v>2.6599999999999999E-2</v>
      </c>
      <c r="G58" s="190">
        <f>'WPF styczeń 2013'!H94</f>
        <v>2.7099999999999999E-2</v>
      </c>
      <c r="H58" s="190">
        <f>'WPF styczeń 2013'!I94</f>
        <v>0</v>
      </c>
      <c r="I58" s="190">
        <f>'WPF styczeń 2013'!J94</f>
        <v>0</v>
      </c>
      <c r="J58" s="191" t="e">
        <f t="shared" ref="J58:R58" si="26">ROUND((((H49+H50-H51)/H48+(G49+G50-G51)/G48+(I49+I50-I51)/I48)/3),4)</f>
        <v>#DIV/0!</v>
      </c>
      <c r="K58" s="190" t="e">
        <f t="shared" si="26"/>
        <v>#DIV/0!</v>
      </c>
      <c r="L58" s="190" t="e">
        <f t="shared" si="26"/>
        <v>#DIV/0!</v>
      </c>
      <c r="M58" s="190" t="e">
        <f t="shared" si="26"/>
        <v>#DIV/0!</v>
      </c>
      <c r="N58" s="190" t="e">
        <f>ROUND((((L49+L50-L51)/L48+(K49+K50-K51)/K48+(M49+M50-M51)/M48)/3),4)</f>
        <v>#DIV/0!</v>
      </c>
      <c r="O58" s="190" t="e">
        <f>ROUND((((M49+M50-M51)/M48+(L49+L50-L51)/L48+(N49+N50-N51)/N48)/3),4)</f>
        <v>#DIV/0!</v>
      </c>
      <c r="P58" s="190" t="e">
        <f>ROUND((((N49+N50-N51)/N48+(M49+M50-M51)/M48+(O49+O50-O51)/O48)/3),4)</f>
        <v>#DIV/0!</v>
      </c>
      <c r="Q58" s="190" t="e">
        <f t="shared" si="26"/>
        <v>#DIV/0!</v>
      </c>
      <c r="R58" s="511" t="e">
        <f t="shared" si="26"/>
        <v>#DIV/0!</v>
      </c>
      <c r="S58" s="511" t="e">
        <f t="shared" ref="S58:X58" si="27">ROUND((((Q49+Q50-Q51)/Q48+(P49+P50-P51)/P48+(R49+R50-R51)/R48)/3),4)</f>
        <v>#DIV/0!</v>
      </c>
      <c r="T58" s="511" t="e">
        <f t="shared" si="27"/>
        <v>#DIV/0!</v>
      </c>
      <c r="U58" s="511" t="e">
        <f t="shared" si="27"/>
        <v>#DIV/0!</v>
      </c>
      <c r="V58" s="511" t="e">
        <f t="shared" si="27"/>
        <v>#DIV/0!</v>
      </c>
      <c r="W58" s="511" t="e">
        <f t="shared" si="27"/>
        <v>#DIV/0!</v>
      </c>
      <c r="X58" s="511" t="e">
        <f t="shared" si="27"/>
        <v>#DIV/0!</v>
      </c>
    </row>
    <row r="59" spans="1:24" ht="13.5" thickTop="1"/>
    <row r="60" spans="1:24" ht="12.75" hidden="1"/>
    <row r="61" spans="1:24" ht="12.75" hidden="1"/>
    <row r="62" spans="1:24" ht="12.75" hidden="1"/>
    <row r="63" spans="1:24" ht="12.75" hidden="1"/>
    <row r="64" spans="1:2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R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39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8"/>
  <dimension ref="A1:BA177"/>
  <sheetViews>
    <sheetView view="pageBreakPreview" topLeftCell="A115" workbookViewId="0">
      <selection activeCell="P134" sqref="P134:S134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groszy'!K54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groszy'!M54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groszy'!O54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groszy'!Q54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groszy'!S54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groszy'!U54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groszy'!W54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groszy'!Y54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groszy'!AA54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groszy'!AC54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groszy'!AE54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groszy'!AG54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9"/>
  <dimension ref="A1:BA177"/>
  <sheetViews>
    <sheetView view="pageBreakPreview" topLeftCell="A118" workbookViewId="0">
      <selection activeCell="P135" sqref="P135:S135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groszy'!K55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groszy'!M55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groszy'!O55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groszy'!Q55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groszy'!S55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groszy'!U55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groszy'!W55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groszy'!Y55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groszy'!AA55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groszy'!AC55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groszy'!AE55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groszy'!AG55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0"/>
  <dimension ref="A1:BA177"/>
  <sheetViews>
    <sheetView view="pageBreakPreview" topLeftCell="A112" workbookViewId="0">
      <selection activeCell="P135" sqref="P135:S135"/>
    </sheetView>
  </sheetViews>
  <sheetFormatPr defaultRowHeight="12.75"/>
  <cols>
    <col min="1" max="16" width="1.85546875" style="465" customWidth="1"/>
    <col min="17" max="17" width="5.28515625" style="465" customWidth="1"/>
    <col min="18" max="18" width="6.5703125" style="465" customWidth="1"/>
    <col min="19" max="19" width="12.140625" style="465" customWidth="1"/>
    <col min="20" max="20" width="2.7109375" style="465" customWidth="1"/>
    <col min="21" max="21" width="13.5703125" style="465" customWidth="1"/>
    <col min="22" max="22" width="9.85546875" style="465" customWidth="1"/>
    <col min="23" max="23" width="6.85546875" style="465" customWidth="1"/>
    <col min="24" max="24" width="9.140625" style="465"/>
    <col min="25" max="25" width="21.5703125" style="465" customWidth="1"/>
    <col min="26" max="16384" width="9.140625" style="465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v>4.99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3.99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groszy'!K56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groszy'!M56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groszy'!O56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groszy'!Q56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groszy'!S56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groszy'!U56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groszy'!W56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groszy'!Y56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groszy'!AA56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groszy'!AC56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groszy'!AE56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groszy'!AG56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f>'HSZ do groszy'!AS56</f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f>'HSZ do groszy'!AT56</f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77"/>
  <sheetViews>
    <sheetView view="pageBreakPreview" topLeftCell="A94" workbookViewId="0">
      <selection activeCell="P88" sqref="P88:S88"/>
    </sheetView>
  </sheetViews>
  <sheetFormatPr defaultRowHeight="12.75"/>
  <cols>
    <col min="1" max="16" width="1.85546875" style="606" customWidth="1"/>
    <col min="17" max="17" width="5.28515625" style="606" customWidth="1"/>
    <col min="18" max="18" width="6.5703125" style="606" customWidth="1"/>
    <col min="19" max="19" width="12.140625" style="606" customWidth="1"/>
    <col min="20" max="20" width="2.7109375" style="606" customWidth="1"/>
    <col min="21" max="21" width="13.5703125" style="606" customWidth="1"/>
    <col min="22" max="22" width="9.85546875" style="606" customWidth="1"/>
    <col min="23" max="23" width="6.85546875" style="606" customWidth="1"/>
    <col min="24" max="24" width="9.140625" style="606"/>
    <col min="25" max="25" width="21.5703125" style="606" customWidth="1"/>
    <col min="26" max="16384" width="9.140625" style="606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f>4.75+3</f>
        <v>7.75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6.75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77"/>
  <sheetViews>
    <sheetView view="pageBreakPreview" topLeftCell="A115" workbookViewId="0">
      <selection activeCell="P38" sqref="P38:S38"/>
    </sheetView>
  </sheetViews>
  <sheetFormatPr defaultRowHeight="12.75"/>
  <cols>
    <col min="1" max="16" width="1.85546875" style="606" customWidth="1"/>
    <col min="17" max="17" width="5.28515625" style="606" customWidth="1"/>
    <col min="18" max="18" width="6.5703125" style="606" customWidth="1"/>
    <col min="19" max="19" width="12.140625" style="606" customWidth="1"/>
    <col min="20" max="20" width="2.7109375" style="606" customWidth="1"/>
    <col min="21" max="21" width="13.5703125" style="606" customWidth="1"/>
    <col min="22" max="22" width="9.85546875" style="606" customWidth="1"/>
    <col min="23" max="23" width="6.85546875" style="606" customWidth="1"/>
    <col min="24" max="24" width="9.140625" style="606"/>
    <col min="25" max="25" width="21.5703125" style="606" customWidth="1"/>
    <col min="26" max="16384" width="9.140625" style="606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f>5.5</f>
        <v>5.5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4.5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21788.673500000001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21788.67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21788.67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21788.67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21788.67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21788.67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21788.67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21788.67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21788.67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21788.67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groszy'!K28</f>
        <v>0</v>
      </c>
      <c r="Q14" s="2315"/>
      <c r="R14" s="2315"/>
      <c r="S14" s="2315"/>
      <c r="T14" s="2316">
        <f>ROUND(IPMT(($AA$3%+0.35%)/11,1,$D$171-$D$4+1,$P$172-(SUM($P$4:P13)))*-1,2)</f>
        <v>21788.67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21788.67</v>
      </c>
      <c r="U15" s="2284"/>
      <c r="V15" s="2284"/>
      <c r="W15" s="2284"/>
      <c r="Y15" s="472">
        <f>SUM(T4:W15)</f>
        <v>261464.04349999991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21788.67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21788.67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21788.67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21788.67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21788.67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21788.67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21788.67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21788.67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21788.67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21788.67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groszy'!M28</f>
        <v>0</v>
      </c>
      <c r="Q26" s="2315"/>
      <c r="R26" s="2315"/>
      <c r="S26" s="2315"/>
      <c r="T26" s="2316">
        <f>ROUND(IPMT(($AA$3%+0.35%)/11,1,$D$171-$D$16+1,$P$172-(SUM($P$4:P25)))*-1,2)</f>
        <v>21788.67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21788.67</v>
      </c>
      <c r="U27" s="2284"/>
      <c r="V27" s="2284"/>
      <c r="W27" s="2284"/>
      <c r="Y27" s="472">
        <f>SUM(T16:W27)</f>
        <v>261464.03999999992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21788.67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21788.67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21788.67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21788.67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21788.67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21788.67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21788.67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21788.67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21788.67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21788.67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v>494177</v>
      </c>
      <c r="Q38" s="2315"/>
      <c r="R38" s="2315"/>
      <c r="S38" s="2315"/>
      <c r="T38" s="2316">
        <f>ROUND(IPMT(($AA$3%+0.35%)/11,1,$D$171-$D$28+1,$P$172-(SUM($P$4:P37)))*-1,2)</f>
        <v>21788.67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19609.8</v>
      </c>
      <c r="U39" s="2284"/>
      <c r="V39" s="2284"/>
      <c r="W39" s="2284"/>
      <c r="Y39" s="472">
        <f>SUM(T28:W39)</f>
        <v>259285.16999999993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19609.8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19609.8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19609.8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19609.8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19609.8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19609.8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19609.8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19609.8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19609.8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19609.8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v>494176</v>
      </c>
      <c r="Q50" s="2315"/>
      <c r="R50" s="2315"/>
      <c r="S50" s="2315"/>
      <c r="T50" s="2316">
        <f>ROUND(IPMT(($AA$3%+0.35%)/11,1,$D$171-$D$40+1,$P$172-(SUM($P$4:P49)))*-1,2)</f>
        <v>19609.8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17430.939999999999</v>
      </c>
      <c r="U51" s="2284"/>
      <c r="V51" s="2284"/>
      <c r="W51" s="2284"/>
      <c r="Y51" s="472">
        <f>SUM(T40:W51)</f>
        <v>233138.73999999996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17430.939999999999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17430.939999999999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17430.939999999999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17430.939999999999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17430.939999999999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17430.939999999999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17430.939999999999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17430.939999999999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17430.939999999999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17430.939999999999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v>494176</v>
      </c>
      <c r="Q62" s="2315"/>
      <c r="R62" s="2315"/>
      <c r="S62" s="2315"/>
      <c r="T62" s="2316">
        <f>ROUND(IPMT(($AA$3%+0.35%)/11,1,$D$171-$D$52+1,$P$172-(SUM($P$4:P61)))*-1,2)</f>
        <v>17430.939999999999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15252.07</v>
      </c>
      <c r="U63" s="2284"/>
      <c r="V63" s="2284"/>
      <c r="W63" s="2284"/>
      <c r="Y63" s="472">
        <f>SUM(T52:W63)</f>
        <v>206992.41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15252.07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15252.07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15252.07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15252.07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15252.07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15252.07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15252.07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15252.07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15252.07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15252.07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v>494176</v>
      </c>
      <c r="Q74" s="2315"/>
      <c r="R74" s="2315"/>
      <c r="S74" s="2315"/>
      <c r="T74" s="2316">
        <f>ROUND(IPMT(($AA$3%+0.35%)/11,1,$D$171-$D$64+1,$P$172-(SUM($P$4:P73)))*-1,2)</f>
        <v>15252.07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13073.2</v>
      </c>
      <c r="U75" s="2284"/>
      <c r="V75" s="2284"/>
      <c r="W75" s="2284"/>
      <c r="Y75" s="472">
        <f>SUM(T64:W75)</f>
        <v>180845.97000000006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13073.2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13073.2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13073.2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13073.2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13073.2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13073.2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13073.2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13073.2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13073.2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13073.2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v>494176</v>
      </c>
      <c r="Q86" s="2315"/>
      <c r="R86" s="2315"/>
      <c r="S86" s="2315"/>
      <c r="T86" s="2316">
        <f>ROUND(IPMT(($AA$3%+0.35%)/11,1,$D$171-$D$76+1,$P$172-(SUM($P$4:P85)))*-1,2)</f>
        <v>13073.2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10894.33</v>
      </c>
      <c r="U87" s="2284"/>
      <c r="V87" s="2284"/>
      <c r="W87" s="2284"/>
      <c r="Y87" s="472">
        <f>SUM(T76:W87)</f>
        <v>154699.52999999997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10894.33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10894.33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10894.33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10894.33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10894.33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10894.33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10894.33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10894.33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10894.33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10894.33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v>494176</v>
      </c>
      <c r="Q98" s="2315"/>
      <c r="R98" s="2315"/>
      <c r="S98" s="2315"/>
      <c r="T98" s="2316">
        <f>ROUND(IPMT(($AA$3%+0.35%)/11,1,$D$171-$D$88+1,$P$172-(SUM($P$4:P97)))*-1,2)</f>
        <v>10894.33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8715.4699999999993</v>
      </c>
      <c r="U99" s="2284"/>
      <c r="V99" s="2284"/>
      <c r="W99" s="2284"/>
      <c r="Y99" s="472">
        <f>SUM(T88:W99)</f>
        <v>128553.1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8715.4699999999993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8715.4699999999993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8715.4699999999993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8715.4699999999993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8715.4699999999993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8715.4699999999993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8715.4699999999993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8715.4699999999993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8715.4699999999993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8715.4699999999993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v>494176</v>
      </c>
      <c r="Q110" s="2315"/>
      <c r="R110" s="2315"/>
      <c r="S110" s="2315"/>
      <c r="T110" s="2316">
        <f>ROUND(IPMT(($AA$3%+0.35%)/11,1,$D$171-$D$160+1,$P$172-(SUM($P$4:P109)))*-1,2)</f>
        <v>8715.4699999999993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6536.6</v>
      </c>
      <c r="U111" s="2279"/>
      <c r="V111" s="2279"/>
      <c r="W111" s="2279"/>
      <c r="Y111" s="472">
        <f>SUM(T100:W111)</f>
        <v>102406.77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6536.6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6536.6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6536.6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6536.6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6536.6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6536.6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6536.6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6536.6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6536.6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6536.6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v>494176</v>
      </c>
      <c r="Q122" s="2315"/>
      <c r="R122" s="2315"/>
      <c r="S122" s="2315"/>
      <c r="T122" s="2316">
        <f>ROUND(IPMT(($AA$3%+0.35%)/11,1,$D$171-$D$160+1,$P$172-(SUM($P$4:P121)))*-1,2)</f>
        <v>6536.6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4357.7299999999996</v>
      </c>
      <c r="U123" s="2279"/>
      <c r="V123" s="2279"/>
      <c r="W123" s="2279"/>
      <c r="Y123" s="472">
        <f>SUM(T112:W123)</f>
        <v>76260.329999999987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4357.7299999999996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4357.7299999999996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4357.7299999999996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4357.7299999999996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4357.7299999999996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4357.7299999999996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4357.7299999999996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4357.7299999999996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4357.7299999999996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4357.7299999999996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v>494176</v>
      </c>
      <c r="Q134" s="2315"/>
      <c r="R134" s="2315"/>
      <c r="S134" s="2315"/>
      <c r="T134" s="2316">
        <f>ROUND(IPMT(($AA$3%+0.35%)/11,1,$D$171-$D$160+1,$P$172-(SUM($P$4:P133)))*-1,2)</f>
        <v>4357.7299999999996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2178.87</v>
      </c>
      <c r="U135" s="2279"/>
      <c r="V135" s="2279"/>
      <c r="W135" s="2279"/>
      <c r="Y135" s="472">
        <f>SUM(T124:W135)</f>
        <v>50113.899999999987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2178.87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2178.87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2178.87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2178.87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2178.87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2178.87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2178.87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2178.87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2178.87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2178.87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v>494176</v>
      </c>
      <c r="Q146" s="2315"/>
      <c r="R146" s="2315"/>
      <c r="S146" s="2315"/>
      <c r="T146" s="2316">
        <f>ROUND(IPMT(($AA$3%+0.35%)/11,1,$D$171-$D$160+1,$P$172-(SUM($P$4:P145)))*-1,2)</f>
        <v>2178.87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23967.569999999992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4941761</v>
      </c>
      <c r="Q172" s="2289"/>
      <c r="R172" s="2289"/>
      <c r="S172" s="2290"/>
      <c r="T172" s="2291">
        <f>SUM(T4:T171)</f>
        <v>1939191.5735000032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77"/>
  <sheetViews>
    <sheetView view="pageBreakPreview" topLeftCell="A121" workbookViewId="0">
      <selection activeCell="P134" sqref="P134:S134"/>
    </sheetView>
  </sheetViews>
  <sheetFormatPr defaultRowHeight="12.75"/>
  <cols>
    <col min="1" max="16" width="1.85546875" style="606" customWidth="1"/>
    <col min="17" max="17" width="5.28515625" style="606" customWidth="1"/>
    <col min="18" max="18" width="6.5703125" style="606" customWidth="1"/>
    <col min="19" max="19" width="12.140625" style="606" customWidth="1"/>
    <col min="20" max="20" width="2.7109375" style="606" customWidth="1"/>
    <col min="21" max="21" width="13.5703125" style="606" customWidth="1"/>
    <col min="22" max="22" width="9.85546875" style="606" customWidth="1"/>
    <col min="23" max="23" width="6.85546875" style="606" customWidth="1"/>
    <col min="24" max="24" width="9.140625" style="606"/>
    <col min="25" max="25" width="21.5703125" style="606" customWidth="1"/>
    <col min="26" max="16384" width="9.140625" style="606"/>
  </cols>
  <sheetData>
    <row r="1" spans="1:27" ht="12.75" customHeight="1">
      <c r="A1" s="2297"/>
      <c r="B1" s="2297"/>
      <c r="C1" s="2297"/>
      <c r="D1" s="2297"/>
      <c r="E1" s="2297"/>
      <c r="F1" s="2297"/>
      <c r="G1" s="2297"/>
      <c r="H1" s="2297"/>
      <c r="I1" s="2297"/>
      <c r="J1" s="2297"/>
      <c r="K1" s="2297"/>
      <c r="L1" s="2297"/>
      <c r="M1" s="2297"/>
      <c r="N1" s="2297"/>
      <c r="O1" s="2297"/>
      <c r="P1" s="2297"/>
      <c r="Q1" s="2297"/>
      <c r="R1" s="2297"/>
      <c r="S1" s="2297"/>
      <c r="T1" s="2297"/>
      <c r="U1" s="2297"/>
      <c r="V1" s="2297"/>
      <c r="W1" s="2297"/>
    </row>
    <row r="2" spans="1:27" ht="18.75">
      <c r="A2" s="2298"/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2298"/>
      <c r="Q2" s="2298"/>
      <c r="R2" s="2298"/>
      <c r="S2" s="2298"/>
      <c r="T2" s="2298"/>
      <c r="U2" s="2298"/>
      <c r="V2" s="2298"/>
      <c r="W2" s="2298"/>
      <c r="Y2" s="466" t="s">
        <v>290</v>
      </c>
      <c r="AA2" s="467">
        <f>4.75+3</f>
        <v>7.75</v>
      </c>
    </row>
    <row r="3" spans="1:27" ht="22.5" customHeight="1">
      <c r="A3" s="2299" t="s">
        <v>187</v>
      </c>
      <c r="B3" s="2300"/>
      <c r="C3" s="2300"/>
      <c r="D3" s="2301" t="s">
        <v>291</v>
      </c>
      <c r="E3" s="2301"/>
      <c r="F3" s="2301"/>
      <c r="G3" s="2301"/>
      <c r="H3" s="2301" t="s">
        <v>292</v>
      </c>
      <c r="I3" s="2301"/>
      <c r="J3" s="2301"/>
      <c r="K3" s="2301"/>
      <c r="L3" s="2301"/>
      <c r="M3" s="2301"/>
      <c r="N3" s="2301"/>
      <c r="O3" s="2301"/>
      <c r="P3" s="2302" t="s">
        <v>293</v>
      </c>
      <c r="Q3" s="2303"/>
      <c r="R3" s="2303"/>
      <c r="S3" s="2304"/>
      <c r="T3" s="2302" t="s">
        <v>294</v>
      </c>
      <c r="U3" s="2303"/>
      <c r="V3" s="2303"/>
      <c r="W3" s="2304"/>
      <c r="Y3" s="466"/>
      <c r="AA3" s="468">
        <f>IF(AA2-1&lt;=3,3,AA2-1)</f>
        <v>6.75</v>
      </c>
    </row>
    <row r="4" spans="1:27" ht="14.1" customHeight="1">
      <c r="A4" s="2305">
        <v>1</v>
      </c>
      <c r="B4" s="2306"/>
      <c r="C4" s="2306"/>
      <c r="D4" s="2307">
        <v>2014</v>
      </c>
      <c r="E4" s="2307"/>
      <c r="F4" s="2307"/>
      <c r="G4" s="2307"/>
      <c r="H4" s="2307" t="s">
        <v>295</v>
      </c>
      <c r="I4" s="2307"/>
      <c r="J4" s="2307"/>
      <c r="K4" s="2307"/>
      <c r="L4" s="2307"/>
      <c r="M4" s="2307"/>
      <c r="N4" s="2307"/>
      <c r="O4" s="2307"/>
      <c r="P4" s="2308">
        <v>0</v>
      </c>
      <c r="Q4" s="2309"/>
      <c r="R4" s="2309"/>
      <c r="S4" s="2309"/>
      <c r="T4" s="2310">
        <f>IPMT((AA3%+0.35%)/11,1,$D$171-D4+1,$P$172*-1)</f>
        <v>0</v>
      </c>
      <c r="U4" s="2310"/>
      <c r="V4" s="2310"/>
      <c r="W4" s="2310"/>
    </row>
    <row r="5" spans="1:27" ht="14.1" customHeight="1">
      <c r="A5" s="2280">
        <v>2</v>
      </c>
      <c r="B5" s="2281"/>
      <c r="C5" s="2281"/>
      <c r="D5" s="2294">
        <f>D4</f>
        <v>2014</v>
      </c>
      <c r="E5" s="2295"/>
      <c r="F5" s="2295"/>
      <c r="G5" s="2296"/>
      <c r="H5" s="2275" t="s">
        <v>296</v>
      </c>
      <c r="I5" s="2275"/>
      <c r="J5" s="2275"/>
      <c r="K5" s="2275"/>
      <c r="L5" s="2275"/>
      <c r="M5" s="2275"/>
      <c r="N5" s="2275"/>
      <c r="O5" s="2275"/>
      <c r="P5" s="2282">
        <v>0</v>
      </c>
      <c r="Q5" s="2283"/>
      <c r="R5" s="2283"/>
      <c r="S5" s="2283"/>
      <c r="T5" s="2284">
        <f>ROUND(IPMT(($AA$3%+0.35%)/11,1,$D$171-$D$4+1,$P$172-(SUM($P$4:P4)))*-1,2)</f>
        <v>0</v>
      </c>
      <c r="U5" s="2284"/>
      <c r="V5" s="2284"/>
      <c r="W5" s="2284"/>
    </row>
    <row r="6" spans="1:27" ht="14.1" customHeight="1">
      <c r="A6" s="2280">
        <v>3</v>
      </c>
      <c r="B6" s="2281"/>
      <c r="C6" s="2281"/>
      <c r="D6" s="2294">
        <f t="shared" ref="D6:D15" si="0">D5</f>
        <v>2014</v>
      </c>
      <c r="E6" s="2295"/>
      <c r="F6" s="2295"/>
      <c r="G6" s="2296"/>
      <c r="H6" s="2275" t="s">
        <v>297</v>
      </c>
      <c r="I6" s="2275"/>
      <c r="J6" s="2275"/>
      <c r="K6" s="2275"/>
      <c r="L6" s="2275"/>
      <c r="M6" s="2275"/>
      <c r="N6" s="2275"/>
      <c r="O6" s="2275"/>
      <c r="P6" s="2282">
        <v>0</v>
      </c>
      <c r="Q6" s="2283"/>
      <c r="R6" s="2283"/>
      <c r="S6" s="2283"/>
      <c r="T6" s="2284">
        <f>ROUND(IPMT(($AA$3%+0.35%)/11,1,$D$171-$D$4+1,$P$172-(SUM($P$4:P5)))*-1,2)</f>
        <v>0</v>
      </c>
      <c r="U6" s="2284"/>
      <c r="V6" s="2284"/>
      <c r="W6" s="2284"/>
    </row>
    <row r="7" spans="1:27" ht="14.1" customHeight="1">
      <c r="A7" s="2280">
        <v>4</v>
      </c>
      <c r="B7" s="2281"/>
      <c r="C7" s="2281"/>
      <c r="D7" s="2294">
        <f t="shared" si="0"/>
        <v>2014</v>
      </c>
      <c r="E7" s="2295"/>
      <c r="F7" s="2295"/>
      <c r="G7" s="2296"/>
      <c r="H7" s="2275" t="s">
        <v>298</v>
      </c>
      <c r="I7" s="2275"/>
      <c r="J7" s="2275"/>
      <c r="K7" s="2275"/>
      <c r="L7" s="2275"/>
      <c r="M7" s="2275"/>
      <c r="N7" s="2275"/>
      <c r="O7" s="2275"/>
      <c r="P7" s="2282">
        <v>0</v>
      </c>
      <c r="Q7" s="2283"/>
      <c r="R7" s="2283"/>
      <c r="S7" s="2283"/>
      <c r="T7" s="2284">
        <f>ROUND(IPMT(($AA$3%+0.35%)/11,1,$D$171-$D$4+1,$P$172-(SUM($P$4:P6)))*-1,2)</f>
        <v>0</v>
      </c>
      <c r="U7" s="2284"/>
      <c r="V7" s="2284"/>
      <c r="W7" s="2284"/>
    </row>
    <row r="8" spans="1:27" ht="14.1" customHeight="1">
      <c r="A8" s="2280">
        <v>5</v>
      </c>
      <c r="B8" s="2281"/>
      <c r="C8" s="2281"/>
      <c r="D8" s="2294">
        <f t="shared" si="0"/>
        <v>2014</v>
      </c>
      <c r="E8" s="2295"/>
      <c r="F8" s="2295"/>
      <c r="G8" s="2296"/>
      <c r="H8" s="2275" t="s">
        <v>299</v>
      </c>
      <c r="I8" s="2275"/>
      <c r="J8" s="2275"/>
      <c r="K8" s="2275"/>
      <c r="L8" s="2275"/>
      <c r="M8" s="2275"/>
      <c r="N8" s="2275"/>
      <c r="O8" s="2275"/>
      <c r="P8" s="2282">
        <v>0</v>
      </c>
      <c r="Q8" s="2283"/>
      <c r="R8" s="2283"/>
      <c r="S8" s="2283"/>
      <c r="T8" s="2284">
        <f>ROUND(IPMT(($AA$3%+0.35%)/11,1,$D$171-$D$4+1,$P$172-(SUM($P$4:P7)))*-1,2)</f>
        <v>0</v>
      </c>
      <c r="U8" s="2284"/>
      <c r="V8" s="2284"/>
      <c r="W8" s="2284"/>
    </row>
    <row r="9" spans="1:27" ht="14.1" customHeight="1">
      <c r="A9" s="2280">
        <v>6</v>
      </c>
      <c r="B9" s="2281"/>
      <c r="C9" s="2281"/>
      <c r="D9" s="2294">
        <f t="shared" si="0"/>
        <v>2014</v>
      </c>
      <c r="E9" s="2295"/>
      <c r="F9" s="2295"/>
      <c r="G9" s="2296"/>
      <c r="H9" s="2275" t="s">
        <v>300</v>
      </c>
      <c r="I9" s="2275"/>
      <c r="J9" s="2275"/>
      <c r="K9" s="2275"/>
      <c r="L9" s="2275"/>
      <c r="M9" s="2275"/>
      <c r="N9" s="2275"/>
      <c r="O9" s="2275"/>
      <c r="P9" s="2282">
        <v>0</v>
      </c>
      <c r="Q9" s="2283"/>
      <c r="R9" s="2283"/>
      <c r="S9" s="2283"/>
      <c r="T9" s="2284">
        <f>ROUND(IPMT(($AA$3%+0.35%)/11,1,$D$171-$D$4+1,$P$172-(SUM($P$4:P8)))*-1,2)</f>
        <v>0</v>
      </c>
      <c r="U9" s="2284"/>
      <c r="V9" s="2284"/>
      <c r="W9" s="2284"/>
    </row>
    <row r="10" spans="1:27" ht="14.1" customHeight="1">
      <c r="A10" s="2280">
        <v>7</v>
      </c>
      <c r="B10" s="2281"/>
      <c r="C10" s="2281"/>
      <c r="D10" s="2294">
        <f t="shared" si="0"/>
        <v>2014</v>
      </c>
      <c r="E10" s="2295"/>
      <c r="F10" s="2295"/>
      <c r="G10" s="2296"/>
      <c r="H10" s="2275" t="s">
        <v>301</v>
      </c>
      <c r="I10" s="2275"/>
      <c r="J10" s="2275"/>
      <c r="K10" s="2275"/>
      <c r="L10" s="2275"/>
      <c r="M10" s="2275"/>
      <c r="N10" s="2275"/>
      <c r="O10" s="2275"/>
      <c r="P10" s="2282">
        <v>0</v>
      </c>
      <c r="Q10" s="2283"/>
      <c r="R10" s="2283"/>
      <c r="S10" s="2283"/>
      <c r="T10" s="2284">
        <f>ROUND(IPMT(($AA$3%+0.35%)/11,1,$D$171-$D$4+1,$P$172-(SUM($P$4:P9)))*-1,2)</f>
        <v>0</v>
      </c>
      <c r="U10" s="2284"/>
      <c r="V10" s="2284"/>
      <c r="W10" s="2284"/>
    </row>
    <row r="11" spans="1:27" ht="14.1" customHeight="1">
      <c r="A11" s="2280">
        <v>8</v>
      </c>
      <c r="B11" s="2281"/>
      <c r="C11" s="2281"/>
      <c r="D11" s="2294">
        <f t="shared" si="0"/>
        <v>2014</v>
      </c>
      <c r="E11" s="2295"/>
      <c r="F11" s="2295"/>
      <c r="G11" s="2296"/>
      <c r="H11" s="2275" t="s">
        <v>302</v>
      </c>
      <c r="I11" s="2275"/>
      <c r="J11" s="2275"/>
      <c r="K11" s="2275"/>
      <c r="L11" s="2275"/>
      <c r="M11" s="2275"/>
      <c r="N11" s="2275"/>
      <c r="O11" s="2275"/>
      <c r="P11" s="2282">
        <v>0</v>
      </c>
      <c r="Q11" s="2283"/>
      <c r="R11" s="2283"/>
      <c r="S11" s="2283"/>
      <c r="T11" s="2284">
        <f>ROUND(IPMT(($AA$3%+0.35%)/11,1,$D$171-$D$4+1,$P$172-(SUM($P$4:P10)))*-1,2)</f>
        <v>0</v>
      </c>
      <c r="U11" s="2284"/>
      <c r="V11" s="2284"/>
      <c r="W11" s="2284"/>
    </row>
    <row r="12" spans="1:27" ht="14.1" customHeight="1">
      <c r="A12" s="2280">
        <v>9</v>
      </c>
      <c r="B12" s="2281"/>
      <c r="C12" s="2281"/>
      <c r="D12" s="2294">
        <f t="shared" si="0"/>
        <v>2014</v>
      </c>
      <c r="E12" s="2295"/>
      <c r="F12" s="2295"/>
      <c r="G12" s="2296"/>
      <c r="H12" s="2275" t="s">
        <v>303</v>
      </c>
      <c r="I12" s="2275"/>
      <c r="J12" s="2275"/>
      <c r="K12" s="2275"/>
      <c r="L12" s="2275"/>
      <c r="M12" s="2275"/>
      <c r="N12" s="2275"/>
      <c r="O12" s="2275"/>
      <c r="P12" s="2282">
        <v>0</v>
      </c>
      <c r="Q12" s="2283"/>
      <c r="R12" s="2283"/>
      <c r="S12" s="2283"/>
      <c r="T12" s="2284">
        <f>ROUND(IPMT(($AA$3%+0.35%)/11,1,$D$171-$D$4+1,$P$172-(SUM($P$4:P11)))*-1,2)</f>
        <v>0</v>
      </c>
      <c r="U12" s="2284"/>
      <c r="V12" s="2284"/>
      <c r="W12" s="2284"/>
    </row>
    <row r="13" spans="1:27" ht="14.1" customHeight="1">
      <c r="A13" s="2280">
        <v>10</v>
      </c>
      <c r="B13" s="2281"/>
      <c r="C13" s="2281"/>
      <c r="D13" s="2294">
        <f t="shared" si="0"/>
        <v>2014</v>
      </c>
      <c r="E13" s="2295"/>
      <c r="F13" s="2295"/>
      <c r="G13" s="2296"/>
      <c r="H13" s="2275" t="s">
        <v>304</v>
      </c>
      <c r="I13" s="2275"/>
      <c r="J13" s="2275"/>
      <c r="K13" s="2275"/>
      <c r="L13" s="2275"/>
      <c r="M13" s="2275"/>
      <c r="N13" s="2275"/>
      <c r="O13" s="2275"/>
      <c r="P13" s="2282">
        <v>0</v>
      </c>
      <c r="Q13" s="2283"/>
      <c r="R13" s="2283"/>
      <c r="S13" s="2283"/>
      <c r="T13" s="2284">
        <f>ROUND(IPMT(($AA$3%+0.35%)/11,1,$D$171-$D$4+1,$P$172-(SUM($P$4:P12)))*-1,2)</f>
        <v>0</v>
      </c>
      <c r="U13" s="2284"/>
      <c r="V13" s="2284"/>
      <c r="W13" s="2284"/>
    </row>
    <row r="14" spans="1:27" s="475" customFormat="1" ht="14.1" customHeight="1">
      <c r="A14" s="2311">
        <v>11</v>
      </c>
      <c r="B14" s="2312"/>
      <c r="C14" s="2312"/>
      <c r="D14" s="2317">
        <f t="shared" si="0"/>
        <v>2014</v>
      </c>
      <c r="E14" s="2318"/>
      <c r="F14" s="2318"/>
      <c r="G14" s="2319"/>
      <c r="H14" s="2313" t="s">
        <v>305</v>
      </c>
      <c r="I14" s="2313"/>
      <c r="J14" s="2313"/>
      <c r="K14" s="2313"/>
      <c r="L14" s="2313"/>
      <c r="M14" s="2313"/>
      <c r="N14" s="2313"/>
      <c r="O14" s="2313"/>
      <c r="P14" s="2314">
        <f>'HSZ do groszy'!K29</f>
        <v>0</v>
      </c>
      <c r="Q14" s="2315"/>
      <c r="R14" s="2315"/>
      <c r="S14" s="2315"/>
      <c r="T14" s="2316">
        <f>ROUND(IPMT(($AA$3%+0.35%)/11,1,$D$171-$D$4+1,$P$172-(SUM($P$4:P13)))*-1,2)</f>
        <v>0</v>
      </c>
      <c r="U14" s="2316"/>
      <c r="V14" s="2316"/>
      <c r="W14" s="2316"/>
    </row>
    <row r="15" spans="1:27" ht="14.1" customHeight="1">
      <c r="A15" s="2280">
        <v>12</v>
      </c>
      <c r="B15" s="2281"/>
      <c r="C15" s="2281"/>
      <c r="D15" s="2294">
        <f t="shared" si="0"/>
        <v>2014</v>
      </c>
      <c r="E15" s="2295"/>
      <c r="F15" s="2295"/>
      <c r="G15" s="2296"/>
      <c r="H15" s="2275" t="s">
        <v>306</v>
      </c>
      <c r="I15" s="2275"/>
      <c r="J15" s="2275"/>
      <c r="K15" s="2275"/>
      <c r="L15" s="2275"/>
      <c r="M15" s="2275"/>
      <c r="N15" s="2275"/>
      <c r="O15" s="2275"/>
      <c r="P15" s="2282">
        <v>0</v>
      </c>
      <c r="Q15" s="2283"/>
      <c r="R15" s="2283"/>
      <c r="S15" s="2283"/>
      <c r="T15" s="2284">
        <f>ROUND(IPMT(($AA$3%+0.35%)/11,1,$D$171-$D$4+1,$P$172-(SUM($P$4:P14)))*-1,2)</f>
        <v>0</v>
      </c>
      <c r="U15" s="2284"/>
      <c r="V15" s="2284"/>
      <c r="W15" s="2284"/>
      <c r="Y15" s="472">
        <f>SUM(T4:W15)</f>
        <v>0</v>
      </c>
    </row>
    <row r="16" spans="1:27" ht="14.1" customHeight="1">
      <c r="A16" s="2280">
        <v>13</v>
      </c>
      <c r="B16" s="2281"/>
      <c r="C16" s="2281"/>
      <c r="D16" s="2275">
        <f>D15+1</f>
        <v>2015</v>
      </c>
      <c r="E16" s="2275"/>
      <c r="F16" s="2275"/>
      <c r="G16" s="2275"/>
      <c r="H16" s="2275" t="s">
        <v>295</v>
      </c>
      <c r="I16" s="2275"/>
      <c r="J16" s="2275"/>
      <c r="K16" s="2275"/>
      <c r="L16" s="2275"/>
      <c r="M16" s="2275"/>
      <c r="N16" s="2275"/>
      <c r="O16" s="2275"/>
      <c r="P16" s="2282">
        <v>0</v>
      </c>
      <c r="Q16" s="2283"/>
      <c r="R16" s="2283"/>
      <c r="S16" s="2283"/>
      <c r="T16" s="2284">
        <f>ROUND(IPMT(($AA$3%+0.35%)/11,1,$D$171-D15+1,$P$172-(SUM($P$4:P15)))*-1,2)</f>
        <v>0</v>
      </c>
      <c r="U16" s="2284"/>
      <c r="V16" s="2284"/>
      <c r="W16" s="2284"/>
      <c r="Y16" s="469"/>
      <c r="Z16" s="469"/>
    </row>
    <row r="17" spans="1:26" ht="14.1" customHeight="1">
      <c r="A17" s="2280">
        <v>14</v>
      </c>
      <c r="B17" s="2281"/>
      <c r="C17" s="2281"/>
      <c r="D17" s="2275">
        <f>$D$16</f>
        <v>2015</v>
      </c>
      <c r="E17" s="2275"/>
      <c r="F17" s="2275"/>
      <c r="G17" s="2275"/>
      <c r="H17" s="2275" t="s">
        <v>296</v>
      </c>
      <c r="I17" s="2275"/>
      <c r="J17" s="2275"/>
      <c r="K17" s="2275"/>
      <c r="L17" s="2275"/>
      <c r="M17" s="2275"/>
      <c r="N17" s="2275"/>
      <c r="O17" s="2275"/>
      <c r="P17" s="2282">
        <v>0</v>
      </c>
      <c r="Q17" s="2283"/>
      <c r="R17" s="2283"/>
      <c r="S17" s="2283"/>
      <c r="T17" s="2284">
        <f>ROUND(IPMT(($AA$3%+0.35%)/11,1,$D$171-D16+1,$P$172-(SUM($P$4:P16)))*-1,2)</f>
        <v>0</v>
      </c>
      <c r="U17" s="2284"/>
      <c r="V17" s="2284"/>
      <c r="W17" s="2284"/>
      <c r="Y17" s="469"/>
      <c r="Z17" s="469"/>
    </row>
    <row r="18" spans="1:26" ht="14.1" customHeight="1">
      <c r="A18" s="2280">
        <v>15</v>
      </c>
      <c r="B18" s="2281"/>
      <c r="C18" s="2281"/>
      <c r="D18" s="2275">
        <f t="shared" ref="D18:D27" si="1">$D$16</f>
        <v>2015</v>
      </c>
      <c r="E18" s="2275"/>
      <c r="F18" s="2275"/>
      <c r="G18" s="2275"/>
      <c r="H18" s="2275" t="s">
        <v>297</v>
      </c>
      <c r="I18" s="2275"/>
      <c r="J18" s="2275"/>
      <c r="K18" s="2275"/>
      <c r="L18" s="2275"/>
      <c r="M18" s="2275"/>
      <c r="N18" s="2275"/>
      <c r="O18" s="2275"/>
      <c r="P18" s="2282">
        <v>0</v>
      </c>
      <c r="Q18" s="2283"/>
      <c r="R18" s="2283"/>
      <c r="S18" s="2283"/>
      <c r="T18" s="2284">
        <f>ROUND(IPMT(($AA$3%+0.35%)/11,1,$D$171-$D$16+1,$P$172-(SUM($P$4:P17)))*-1,2)</f>
        <v>0</v>
      </c>
      <c r="U18" s="2284"/>
      <c r="V18" s="2284"/>
      <c r="W18" s="2284"/>
      <c r="Y18" s="469"/>
      <c r="Z18" s="469"/>
    </row>
    <row r="19" spans="1:26" ht="14.1" customHeight="1">
      <c r="A19" s="2280">
        <v>16</v>
      </c>
      <c r="B19" s="2281"/>
      <c r="C19" s="2281"/>
      <c r="D19" s="2275">
        <f t="shared" si="1"/>
        <v>2015</v>
      </c>
      <c r="E19" s="2275"/>
      <c r="F19" s="2275"/>
      <c r="G19" s="2275"/>
      <c r="H19" s="2275" t="s">
        <v>298</v>
      </c>
      <c r="I19" s="2275"/>
      <c r="J19" s="2275"/>
      <c r="K19" s="2275"/>
      <c r="L19" s="2275"/>
      <c r="M19" s="2275"/>
      <c r="N19" s="2275"/>
      <c r="O19" s="2275"/>
      <c r="P19" s="2282">
        <v>0</v>
      </c>
      <c r="Q19" s="2283"/>
      <c r="R19" s="2283"/>
      <c r="S19" s="2283"/>
      <c r="T19" s="2284">
        <f>ROUND(IPMT(($AA$3%+0.35%)/11,1,$D$171-$D$16+1,$P$172-(SUM($P$4:P18)))*-1,2)</f>
        <v>0</v>
      </c>
      <c r="U19" s="2284"/>
      <c r="V19" s="2284"/>
      <c r="W19" s="2284"/>
      <c r="Y19" s="469"/>
      <c r="Z19" s="469"/>
    </row>
    <row r="20" spans="1:26" ht="14.1" customHeight="1">
      <c r="A20" s="2280">
        <v>17</v>
      </c>
      <c r="B20" s="2281"/>
      <c r="C20" s="2281"/>
      <c r="D20" s="2275">
        <f t="shared" si="1"/>
        <v>2015</v>
      </c>
      <c r="E20" s="2275"/>
      <c r="F20" s="2275"/>
      <c r="G20" s="2275"/>
      <c r="H20" s="2275" t="s">
        <v>299</v>
      </c>
      <c r="I20" s="2275"/>
      <c r="J20" s="2275"/>
      <c r="K20" s="2275"/>
      <c r="L20" s="2275"/>
      <c r="M20" s="2275"/>
      <c r="N20" s="2275"/>
      <c r="O20" s="2275"/>
      <c r="P20" s="2282">
        <v>0</v>
      </c>
      <c r="Q20" s="2283"/>
      <c r="R20" s="2283"/>
      <c r="S20" s="2283"/>
      <c r="T20" s="2284">
        <f>ROUND(IPMT(($AA$3%+0.35%)/11,1,$D$171-$D$16+1,$P$172-(SUM($P$4:P19)))*-1,2)</f>
        <v>0</v>
      </c>
      <c r="U20" s="2284"/>
      <c r="V20" s="2284"/>
      <c r="W20" s="2284"/>
      <c r="Y20" s="469"/>
      <c r="Z20" s="469"/>
    </row>
    <row r="21" spans="1:26" ht="14.1" customHeight="1">
      <c r="A21" s="2280">
        <v>18</v>
      </c>
      <c r="B21" s="2281"/>
      <c r="C21" s="2281"/>
      <c r="D21" s="2275">
        <f t="shared" si="1"/>
        <v>2015</v>
      </c>
      <c r="E21" s="2275"/>
      <c r="F21" s="2275"/>
      <c r="G21" s="2275"/>
      <c r="H21" s="2275" t="s">
        <v>300</v>
      </c>
      <c r="I21" s="2275"/>
      <c r="J21" s="2275"/>
      <c r="K21" s="2275"/>
      <c r="L21" s="2275"/>
      <c r="M21" s="2275"/>
      <c r="N21" s="2275"/>
      <c r="O21" s="2275"/>
      <c r="P21" s="2282">
        <v>0</v>
      </c>
      <c r="Q21" s="2283"/>
      <c r="R21" s="2283"/>
      <c r="S21" s="2283"/>
      <c r="T21" s="2284">
        <f>ROUND(IPMT(($AA$3%+0.35%)/11,1,$D$171-$D$16+1,$P$172-(SUM($P$4:P20)))*-1,2)</f>
        <v>0</v>
      </c>
      <c r="U21" s="2284"/>
      <c r="V21" s="2284"/>
      <c r="W21" s="2284"/>
      <c r="Y21" s="469"/>
      <c r="Z21" s="469"/>
    </row>
    <row r="22" spans="1:26" ht="14.1" customHeight="1">
      <c r="A22" s="2280">
        <v>19</v>
      </c>
      <c r="B22" s="2281"/>
      <c r="C22" s="2281"/>
      <c r="D22" s="2275">
        <f t="shared" si="1"/>
        <v>2015</v>
      </c>
      <c r="E22" s="2275"/>
      <c r="F22" s="2275"/>
      <c r="G22" s="2275"/>
      <c r="H22" s="2275" t="s">
        <v>301</v>
      </c>
      <c r="I22" s="2275"/>
      <c r="J22" s="2275"/>
      <c r="K22" s="2275"/>
      <c r="L22" s="2275"/>
      <c r="M22" s="2275"/>
      <c r="N22" s="2275"/>
      <c r="O22" s="2275"/>
      <c r="P22" s="2282">
        <v>0</v>
      </c>
      <c r="Q22" s="2283"/>
      <c r="R22" s="2283"/>
      <c r="S22" s="2283"/>
      <c r="T22" s="2284">
        <f>ROUND(IPMT(($AA$3%+0.35%)/11,1,$D$171-$D$16+1,$P$172-(SUM($P$4:P21)))*-1,2)</f>
        <v>0</v>
      </c>
      <c r="U22" s="2284"/>
      <c r="V22" s="2284"/>
      <c r="W22" s="2284"/>
      <c r="Y22" s="469"/>
      <c r="Z22" s="469"/>
    </row>
    <row r="23" spans="1:26" ht="14.1" customHeight="1">
      <c r="A23" s="2280">
        <v>20</v>
      </c>
      <c r="B23" s="2281"/>
      <c r="C23" s="2281"/>
      <c r="D23" s="2275">
        <f t="shared" si="1"/>
        <v>2015</v>
      </c>
      <c r="E23" s="2275"/>
      <c r="F23" s="2275"/>
      <c r="G23" s="2275"/>
      <c r="H23" s="2275" t="s">
        <v>302</v>
      </c>
      <c r="I23" s="2275"/>
      <c r="J23" s="2275"/>
      <c r="K23" s="2275"/>
      <c r="L23" s="2275"/>
      <c r="M23" s="2275"/>
      <c r="N23" s="2275"/>
      <c r="O23" s="2275"/>
      <c r="P23" s="2282">
        <v>0</v>
      </c>
      <c r="Q23" s="2283"/>
      <c r="R23" s="2283"/>
      <c r="S23" s="2283"/>
      <c r="T23" s="2284">
        <f>ROUND(IPMT(($AA$3%+0.35%)/11,1,$D$171-$D$16+1,$P$172-(SUM($P$4:P22)))*-1,2)</f>
        <v>0</v>
      </c>
      <c r="U23" s="2284"/>
      <c r="V23" s="2284"/>
      <c r="W23" s="2284"/>
      <c r="Y23" s="469"/>
      <c r="Z23" s="469"/>
    </row>
    <row r="24" spans="1:26" ht="14.1" customHeight="1">
      <c r="A24" s="2280">
        <v>21</v>
      </c>
      <c r="B24" s="2281"/>
      <c r="C24" s="2281"/>
      <c r="D24" s="2275">
        <f t="shared" si="1"/>
        <v>2015</v>
      </c>
      <c r="E24" s="2275"/>
      <c r="F24" s="2275"/>
      <c r="G24" s="2275"/>
      <c r="H24" s="2275" t="s">
        <v>303</v>
      </c>
      <c r="I24" s="2275"/>
      <c r="J24" s="2275"/>
      <c r="K24" s="2275"/>
      <c r="L24" s="2275"/>
      <c r="M24" s="2275"/>
      <c r="N24" s="2275"/>
      <c r="O24" s="2275"/>
      <c r="P24" s="2282">
        <v>0</v>
      </c>
      <c r="Q24" s="2283"/>
      <c r="R24" s="2283"/>
      <c r="S24" s="2283"/>
      <c r="T24" s="2284">
        <f>ROUND(IPMT(($AA$3%+0.35%)/11,1,$D$171-$D$16+1,$P$172-(SUM($P$4:P23)))*-1,2)</f>
        <v>0</v>
      </c>
      <c r="U24" s="2284"/>
      <c r="V24" s="2284"/>
      <c r="W24" s="2284"/>
      <c r="Y24" s="469"/>
      <c r="Z24" s="469"/>
    </row>
    <row r="25" spans="1:26" ht="14.1" customHeight="1">
      <c r="A25" s="2280">
        <v>22</v>
      </c>
      <c r="B25" s="2281"/>
      <c r="C25" s="2281"/>
      <c r="D25" s="2275">
        <f t="shared" si="1"/>
        <v>2015</v>
      </c>
      <c r="E25" s="2275"/>
      <c r="F25" s="2275"/>
      <c r="G25" s="2275"/>
      <c r="H25" s="2275" t="s">
        <v>304</v>
      </c>
      <c r="I25" s="2275"/>
      <c r="J25" s="2275"/>
      <c r="K25" s="2275"/>
      <c r="L25" s="2275"/>
      <c r="M25" s="2275"/>
      <c r="N25" s="2275"/>
      <c r="O25" s="2275"/>
      <c r="P25" s="2282">
        <v>0</v>
      </c>
      <c r="Q25" s="2283"/>
      <c r="R25" s="2283"/>
      <c r="S25" s="2283"/>
      <c r="T25" s="2284">
        <f>ROUND(IPMT(($AA$3%+0.35%)/11,1,$D$171-$D$16+1,$P$172-(SUM($P$4:P24)))*-1,2)</f>
        <v>0</v>
      </c>
      <c r="U25" s="2284"/>
      <c r="V25" s="2284"/>
      <c r="W25" s="2284"/>
      <c r="Y25" s="469"/>
      <c r="Z25" s="469"/>
    </row>
    <row r="26" spans="1:26" s="475" customFormat="1" ht="14.1" customHeight="1">
      <c r="A26" s="2311">
        <v>23</v>
      </c>
      <c r="B26" s="2312"/>
      <c r="C26" s="2312"/>
      <c r="D26" s="2313">
        <f t="shared" si="1"/>
        <v>2015</v>
      </c>
      <c r="E26" s="2313"/>
      <c r="F26" s="2313"/>
      <c r="G26" s="2313"/>
      <c r="H26" s="2313" t="s">
        <v>305</v>
      </c>
      <c r="I26" s="2313"/>
      <c r="J26" s="2313"/>
      <c r="K26" s="2313"/>
      <c r="L26" s="2313"/>
      <c r="M26" s="2313"/>
      <c r="N26" s="2313"/>
      <c r="O26" s="2313"/>
      <c r="P26" s="2314">
        <f>'HSZ do groszy'!M29</f>
        <v>0</v>
      </c>
      <c r="Q26" s="2315"/>
      <c r="R26" s="2315"/>
      <c r="S26" s="2315"/>
      <c r="T26" s="2316">
        <f>ROUND(IPMT(($AA$3%+0.35%)/11,1,$D$171-$D$16+1,$P$172-(SUM($P$4:P25)))*-1,2)</f>
        <v>0</v>
      </c>
      <c r="U26" s="2316"/>
      <c r="V26" s="2316"/>
      <c r="W26" s="2316"/>
      <c r="Y26" s="476"/>
      <c r="Z26" s="476"/>
    </row>
    <row r="27" spans="1:26" ht="14.1" customHeight="1">
      <c r="A27" s="2280">
        <v>24</v>
      </c>
      <c r="B27" s="2281"/>
      <c r="C27" s="2281"/>
      <c r="D27" s="2275">
        <f t="shared" si="1"/>
        <v>2015</v>
      </c>
      <c r="E27" s="2275"/>
      <c r="F27" s="2275"/>
      <c r="G27" s="2275"/>
      <c r="H27" s="2275" t="s">
        <v>306</v>
      </c>
      <c r="I27" s="2275"/>
      <c r="J27" s="2275"/>
      <c r="K27" s="2275"/>
      <c r="L27" s="2275"/>
      <c r="M27" s="2275"/>
      <c r="N27" s="2275"/>
      <c r="O27" s="2275"/>
      <c r="P27" s="2282">
        <v>0</v>
      </c>
      <c r="Q27" s="2283"/>
      <c r="R27" s="2283"/>
      <c r="S27" s="2283"/>
      <c r="T27" s="2284">
        <f>ROUND(IPMT(($AA$3%+0.35%)/11,1,$D$171-$D$16+1,$P$172-(SUM($P$4:P26)))*-1,2)</f>
        <v>0</v>
      </c>
      <c r="U27" s="2284"/>
      <c r="V27" s="2284"/>
      <c r="W27" s="2284"/>
      <c r="Y27" s="472">
        <f>SUM(T16:W27)</f>
        <v>0</v>
      </c>
    </row>
    <row r="28" spans="1:26" ht="14.1" customHeight="1">
      <c r="A28" s="2280">
        <v>25</v>
      </c>
      <c r="B28" s="2281"/>
      <c r="C28" s="2281"/>
      <c r="D28" s="2275">
        <f>D16+1</f>
        <v>2016</v>
      </c>
      <c r="E28" s="2275"/>
      <c r="F28" s="2275"/>
      <c r="G28" s="2275"/>
      <c r="H28" s="2275" t="s">
        <v>295</v>
      </c>
      <c r="I28" s="2275"/>
      <c r="J28" s="2275"/>
      <c r="K28" s="2275"/>
      <c r="L28" s="2275"/>
      <c r="M28" s="2275"/>
      <c r="N28" s="2275"/>
      <c r="O28" s="2275"/>
      <c r="P28" s="2282">
        <v>0</v>
      </c>
      <c r="Q28" s="2283"/>
      <c r="R28" s="2283"/>
      <c r="S28" s="2283"/>
      <c r="T28" s="2284">
        <f>ROUND(IPMT(($AA$3%+0.35%)/11,1,$D$171-$D$16+1,$P$172-(SUM($P$4:P27)))*-1,2)</f>
        <v>0</v>
      </c>
      <c r="U28" s="2284"/>
      <c r="V28" s="2284"/>
      <c r="W28" s="2284"/>
      <c r="Y28" s="469"/>
      <c r="Z28" s="469"/>
    </row>
    <row r="29" spans="1:26" ht="14.1" customHeight="1">
      <c r="A29" s="2280">
        <v>26</v>
      </c>
      <c r="B29" s="2281"/>
      <c r="C29" s="2281"/>
      <c r="D29" s="2275">
        <f>$D$28</f>
        <v>2016</v>
      </c>
      <c r="E29" s="2275"/>
      <c r="F29" s="2275"/>
      <c r="G29" s="2275"/>
      <c r="H29" s="2275" t="s">
        <v>296</v>
      </c>
      <c r="I29" s="2275"/>
      <c r="J29" s="2275"/>
      <c r="K29" s="2275"/>
      <c r="L29" s="2275"/>
      <c r="M29" s="2275"/>
      <c r="N29" s="2275"/>
      <c r="O29" s="2275"/>
      <c r="P29" s="2282">
        <v>0</v>
      </c>
      <c r="Q29" s="2283"/>
      <c r="R29" s="2283"/>
      <c r="S29" s="2283"/>
      <c r="T29" s="2284">
        <f>ROUND(IPMT(($AA$3%+0.35%)/11,1,$D$171-$D$28+1,$P$172-(SUM($P$4:P28)))*-1,2)</f>
        <v>0</v>
      </c>
      <c r="U29" s="2284"/>
      <c r="V29" s="2284"/>
      <c r="W29" s="2284"/>
      <c r="Y29" s="469"/>
      <c r="Z29" s="469"/>
    </row>
    <row r="30" spans="1:26" ht="14.1" customHeight="1">
      <c r="A30" s="2280">
        <v>27</v>
      </c>
      <c r="B30" s="2281"/>
      <c r="C30" s="2281"/>
      <c r="D30" s="2275">
        <f t="shared" ref="D30:D39" si="2">$D$28</f>
        <v>2016</v>
      </c>
      <c r="E30" s="2275"/>
      <c r="F30" s="2275"/>
      <c r="G30" s="2275"/>
      <c r="H30" s="2275" t="s">
        <v>297</v>
      </c>
      <c r="I30" s="2275"/>
      <c r="J30" s="2275"/>
      <c r="K30" s="2275"/>
      <c r="L30" s="2275"/>
      <c r="M30" s="2275"/>
      <c r="N30" s="2275"/>
      <c r="O30" s="2275"/>
      <c r="P30" s="2282">
        <v>0</v>
      </c>
      <c r="Q30" s="2283"/>
      <c r="R30" s="2283"/>
      <c r="S30" s="2283"/>
      <c r="T30" s="2284">
        <f>ROUND(IPMT(($AA$3%+0.35%)/11,1,$D$171-$D$28+1,$P$172-(SUM($P$4:P29)))*-1,2)</f>
        <v>0</v>
      </c>
      <c r="U30" s="2284"/>
      <c r="V30" s="2284"/>
      <c r="W30" s="2284"/>
      <c r="Y30" s="469"/>
      <c r="Z30" s="469"/>
    </row>
    <row r="31" spans="1:26" ht="14.1" customHeight="1">
      <c r="A31" s="2280">
        <v>28</v>
      </c>
      <c r="B31" s="2281"/>
      <c r="C31" s="2281"/>
      <c r="D31" s="2275">
        <f t="shared" si="2"/>
        <v>2016</v>
      </c>
      <c r="E31" s="2275"/>
      <c r="F31" s="2275"/>
      <c r="G31" s="2275"/>
      <c r="H31" s="2275" t="s">
        <v>298</v>
      </c>
      <c r="I31" s="2275"/>
      <c r="J31" s="2275"/>
      <c r="K31" s="2275"/>
      <c r="L31" s="2275"/>
      <c r="M31" s="2275"/>
      <c r="N31" s="2275"/>
      <c r="O31" s="2275"/>
      <c r="P31" s="2282">
        <v>0</v>
      </c>
      <c r="Q31" s="2283"/>
      <c r="R31" s="2283"/>
      <c r="S31" s="2283"/>
      <c r="T31" s="2284">
        <f>ROUND(IPMT(($AA$3%+0.35%)/11,1,$D$171-$D$28+1,$P$172-(SUM($P$4:P30)))*-1,2)</f>
        <v>0</v>
      </c>
      <c r="U31" s="2284"/>
      <c r="V31" s="2284"/>
      <c r="W31" s="2284"/>
      <c r="Y31" s="469"/>
      <c r="Z31" s="469"/>
    </row>
    <row r="32" spans="1:26" ht="14.1" customHeight="1">
      <c r="A32" s="2280">
        <v>29</v>
      </c>
      <c r="B32" s="2281"/>
      <c r="C32" s="2281"/>
      <c r="D32" s="2275">
        <f t="shared" si="2"/>
        <v>2016</v>
      </c>
      <c r="E32" s="2275"/>
      <c r="F32" s="2275"/>
      <c r="G32" s="2275"/>
      <c r="H32" s="2275" t="s">
        <v>299</v>
      </c>
      <c r="I32" s="2275"/>
      <c r="J32" s="2275"/>
      <c r="K32" s="2275"/>
      <c r="L32" s="2275"/>
      <c r="M32" s="2275"/>
      <c r="N32" s="2275"/>
      <c r="O32" s="2275"/>
      <c r="P32" s="2282">
        <v>0</v>
      </c>
      <c r="Q32" s="2283"/>
      <c r="R32" s="2283"/>
      <c r="S32" s="2283"/>
      <c r="T32" s="2284">
        <f>ROUND(IPMT(($AA$3%+0.35%)/11,1,$D$171-$D$28+1,$P$172-(SUM($P$4:P31)))*-1,2)</f>
        <v>0</v>
      </c>
      <c r="U32" s="2284"/>
      <c r="V32" s="2284"/>
      <c r="W32" s="2284"/>
      <c r="Y32" s="469"/>
      <c r="Z32" s="469"/>
    </row>
    <row r="33" spans="1:26" ht="14.1" customHeight="1">
      <c r="A33" s="2280">
        <v>30</v>
      </c>
      <c r="B33" s="2281"/>
      <c r="C33" s="2281"/>
      <c r="D33" s="2275">
        <f t="shared" si="2"/>
        <v>2016</v>
      </c>
      <c r="E33" s="2275"/>
      <c r="F33" s="2275"/>
      <c r="G33" s="2275"/>
      <c r="H33" s="2275" t="s">
        <v>300</v>
      </c>
      <c r="I33" s="2275"/>
      <c r="J33" s="2275"/>
      <c r="K33" s="2275"/>
      <c r="L33" s="2275"/>
      <c r="M33" s="2275"/>
      <c r="N33" s="2275"/>
      <c r="O33" s="2275"/>
      <c r="P33" s="2282">
        <v>0</v>
      </c>
      <c r="Q33" s="2283"/>
      <c r="R33" s="2283"/>
      <c r="S33" s="2283"/>
      <c r="T33" s="2284">
        <f>ROUND(IPMT(($AA$3%+0.35%)/11,1,$D$171-$D$28+1,$P$172-(SUM($P$4:P32)))*-1,2)</f>
        <v>0</v>
      </c>
      <c r="U33" s="2284"/>
      <c r="V33" s="2284"/>
      <c r="W33" s="2284"/>
      <c r="Y33" s="469"/>
      <c r="Z33" s="469"/>
    </row>
    <row r="34" spans="1:26" ht="14.1" customHeight="1">
      <c r="A34" s="2280">
        <v>31</v>
      </c>
      <c r="B34" s="2281"/>
      <c r="C34" s="2281"/>
      <c r="D34" s="2275">
        <f t="shared" si="2"/>
        <v>2016</v>
      </c>
      <c r="E34" s="2275"/>
      <c r="F34" s="2275"/>
      <c r="G34" s="2275"/>
      <c r="H34" s="2275" t="s">
        <v>301</v>
      </c>
      <c r="I34" s="2275"/>
      <c r="J34" s="2275"/>
      <c r="K34" s="2275"/>
      <c r="L34" s="2275"/>
      <c r="M34" s="2275"/>
      <c r="N34" s="2275"/>
      <c r="O34" s="2275"/>
      <c r="P34" s="2282">
        <v>0</v>
      </c>
      <c r="Q34" s="2283"/>
      <c r="R34" s="2283"/>
      <c r="S34" s="2283"/>
      <c r="T34" s="2284">
        <f>ROUND(IPMT(($AA$3%+0.35%)/11,1,$D$171-$D$28+1,$P$172-(SUM($P$4:P33)))*-1,2)</f>
        <v>0</v>
      </c>
      <c r="U34" s="2284"/>
      <c r="V34" s="2284"/>
      <c r="W34" s="2284"/>
      <c r="Y34" s="469"/>
      <c r="Z34" s="469"/>
    </row>
    <row r="35" spans="1:26" ht="14.1" customHeight="1">
      <c r="A35" s="2280">
        <v>32</v>
      </c>
      <c r="B35" s="2281"/>
      <c r="C35" s="2281"/>
      <c r="D35" s="2275">
        <f t="shared" si="2"/>
        <v>2016</v>
      </c>
      <c r="E35" s="2275"/>
      <c r="F35" s="2275"/>
      <c r="G35" s="2275"/>
      <c r="H35" s="2275" t="s">
        <v>302</v>
      </c>
      <c r="I35" s="2275"/>
      <c r="J35" s="2275"/>
      <c r="K35" s="2275"/>
      <c r="L35" s="2275"/>
      <c r="M35" s="2275"/>
      <c r="N35" s="2275"/>
      <c r="O35" s="2275"/>
      <c r="P35" s="2282">
        <v>0</v>
      </c>
      <c r="Q35" s="2283"/>
      <c r="R35" s="2283"/>
      <c r="S35" s="2283"/>
      <c r="T35" s="2284">
        <f>ROUND(IPMT(($AA$3%+0.35%)/11,1,$D$171-$D$28+1,$P$172-(SUM($P$4:P34)))*-1,2)</f>
        <v>0</v>
      </c>
      <c r="U35" s="2284"/>
      <c r="V35" s="2284"/>
      <c r="W35" s="2284"/>
      <c r="Y35" s="469"/>
      <c r="Z35" s="469"/>
    </row>
    <row r="36" spans="1:26" ht="14.1" customHeight="1">
      <c r="A36" s="2280">
        <v>33</v>
      </c>
      <c r="B36" s="2281"/>
      <c r="C36" s="2281"/>
      <c r="D36" s="2275">
        <f t="shared" si="2"/>
        <v>2016</v>
      </c>
      <c r="E36" s="2275"/>
      <c r="F36" s="2275"/>
      <c r="G36" s="2275"/>
      <c r="H36" s="2275" t="s">
        <v>303</v>
      </c>
      <c r="I36" s="2275"/>
      <c r="J36" s="2275"/>
      <c r="K36" s="2275"/>
      <c r="L36" s="2275"/>
      <c r="M36" s="2275"/>
      <c r="N36" s="2275"/>
      <c r="O36" s="2275"/>
      <c r="P36" s="2282">
        <v>0</v>
      </c>
      <c r="Q36" s="2283"/>
      <c r="R36" s="2283"/>
      <c r="S36" s="2283"/>
      <c r="T36" s="2284">
        <f>ROUND(IPMT(($AA$3%+0.35%)/11,1,$D$171-$D$28+1,$P$172-(SUM($P$4:P35)))*-1,2)</f>
        <v>0</v>
      </c>
      <c r="U36" s="2284"/>
      <c r="V36" s="2284"/>
      <c r="W36" s="2284"/>
      <c r="Y36" s="469"/>
      <c r="Z36" s="469"/>
    </row>
    <row r="37" spans="1:26" ht="14.1" customHeight="1">
      <c r="A37" s="2280">
        <v>34</v>
      </c>
      <c r="B37" s="2281"/>
      <c r="C37" s="2281"/>
      <c r="D37" s="2275">
        <f t="shared" si="2"/>
        <v>2016</v>
      </c>
      <c r="E37" s="2275"/>
      <c r="F37" s="2275"/>
      <c r="G37" s="2275"/>
      <c r="H37" s="2275" t="s">
        <v>304</v>
      </c>
      <c r="I37" s="2275"/>
      <c r="J37" s="2275"/>
      <c r="K37" s="2275"/>
      <c r="L37" s="2275"/>
      <c r="M37" s="2275"/>
      <c r="N37" s="2275"/>
      <c r="O37" s="2275"/>
      <c r="P37" s="2282">
        <v>0</v>
      </c>
      <c r="Q37" s="2283"/>
      <c r="R37" s="2283"/>
      <c r="S37" s="2283"/>
      <c r="T37" s="2284">
        <f>ROUND(IPMT(($AA$3%+0.35%)/11,1,$D$171-$D$28+1,$P$172-(SUM($P$4:P36)))*-1,2)</f>
        <v>0</v>
      </c>
      <c r="U37" s="2284"/>
      <c r="V37" s="2284"/>
      <c r="W37" s="2284"/>
      <c r="Y37" s="469"/>
      <c r="Z37" s="469"/>
    </row>
    <row r="38" spans="1:26" s="475" customFormat="1" ht="14.1" customHeight="1">
      <c r="A38" s="2311">
        <v>35</v>
      </c>
      <c r="B38" s="2312"/>
      <c r="C38" s="2312"/>
      <c r="D38" s="2313">
        <f t="shared" si="2"/>
        <v>2016</v>
      </c>
      <c r="E38" s="2313"/>
      <c r="F38" s="2313"/>
      <c r="G38" s="2313"/>
      <c r="H38" s="2313" t="s">
        <v>305</v>
      </c>
      <c r="I38" s="2313"/>
      <c r="J38" s="2313"/>
      <c r="K38" s="2313"/>
      <c r="L38" s="2313"/>
      <c r="M38" s="2313"/>
      <c r="N38" s="2313"/>
      <c r="O38" s="2313"/>
      <c r="P38" s="2314">
        <f>'HSZ do groszy'!O29</f>
        <v>0</v>
      </c>
      <c r="Q38" s="2315"/>
      <c r="R38" s="2315"/>
      <c r="S38" s="2315"/>
      <c r="T38" s="2316">
        <f>ROUND(IPMT(($AA$3%+0.35%)/11,1,$D$171-$D$28+1,$P$172-(SUM($P$4:P37)))*-1,2)</f>
        <v>0</v>
      </c>
      <c r="U38" s="2316"/>
      <c r="V38" s="2316"/>
      <c r="W38" s="2316"/>
      <c r="Y38" s="476"/>
      <c r="Z38" s="476"/>
    </row>
    <row r="39" spans="1:26" ht="14.1" customHeight="1">
      <c r="A39" s="2280">
        <v>36</v>
      </c>
      <c r="B39" s="2281"/>
      <c r="C39" s="2281"/>
      <c r="D39" s="2275">
        <f t="shared" si="2"/>
        <v>2016</v>
      </c>
      <c r="E39" s="2275"/>
      <c r="F39" s="2275"/>
      <c r="G39" s="2275"/>
      <c r="H39" s="2275" t="s">
        <v>306</v>
      </c>
      <c r="I39" s="2275"/>
      <c r="J39" s="2275"/>
      <c r="K39" s="2275"/>
      <c r="L39" s="2275"/>
      <c r="M39" s="2275"/>
      <c r="N39" s="2275"/>
      <c r="O39" s="2275"/>
      <c r="P39" s="2282">
        <v>0</v>
      </c>
      <c r="Q39" s="2283"/>
      <c r="R39" s="2283"/>
      <c r="S39" s="2283"/>
      <c r="T39" s="2284">
        <f>ROUND(IPMT(($AA$3%+0.35%)/11,1,$D$171-$D$28+1,$P$172-(SUM($P$4:P38)))*-1,2)</f>
        <v>0</v>
      </c>
      <c r="U39" s="2284"/>
      <c r="V39" s="2284"/>
      <c r="W39" s="2284"/>
      <c r="Y39" s="472">
        <f>SUM(T28:W39)</f>
        <v>0</v>
      </c>
    </row>
    <row r="40" spans="1:26" ht="14.1" customHeight="1">
      <c r="A40" s="2280">
        <v>37</v>
      </c>
      <c r="B40" s="2281"/>
      <c r="C40" s="2281"/>
      <c r="D40" s="2275">
        <f>D28+1</f>
        <v>2017</v>
      </c>
      <c r="E40" s="2275"/>
      <c r="F40" s="2275"/>
      <c r="G40" s="2275"/>
      <c r="H40" s="2275" t="s">
        <v>295</v>
      </c>
      <c r="I40" s="2275"/>
      <c r="J40" s="2275"/>
      <c r="K40" s="2275"/>
      <c r="L40" s="2275"/>
      <c r="M40" s="2275"/>
      <c r="N40" s="2275"/>
      <c r="O40" s="2275"/>
      <c r="P40" s="2282">
        <v>0</v>
      </c>
      <c r="Q40" s="2283"/>
      <c r="R40" s="2283"/>
      <c r="S40" s="2283"/>
      <c r="T40" s="2284">
        <f>ROUND(IPMT(($AA$3%+0.35%)/11,1,$D$171-$D$28+1,$P$172-(SUM($P$4:P39)))*-1,2)</f>
        <v>0</v>
      </c>
      <c r="U40" s="2284"/>
      <c r="V40" s="2284"/>
      <c r="W40" s="2284"/>
      <c r="Y40" s="469"/>
      <c r="Z40" s="469"/>
    </row>
    <row r="41" spans="1:26" ht="14.1" customHeight="1">
      <c r="A41" s="2280">
        <v>38</v>
      </c>
      <c r="B41" s="2281"/>
      <c r="C41" s="2281"/>
      <c r="D41" s="2275">
        <f>$D$40</f>
        <v>2017</v>
      </c>
      <c r="E41" s="2275"/>
      <c r="F41" s="2275"/>
      <c r="G41" s="2275"/>
      <c r="H41" s="2275" t="s">
        <v>296</v>
      </c>
      <c r="I41" s="2275"/>
      <c r="J41" s="2275"/>
      <c r="K41" s="2275"/>
      <c r="L41" s="2275"/>
      <c r="M41" s="2275"/>
      <c r="N41" s="2275"/>
      <c r="O41" s="2275"/>
      <c r="P41" s="2282">
        <v>0</v>
      </c>
      <c r="Q41" s="2283"/>
      <c r="R41" s="2283"/>
      <c r="S41" s="2283"/>
      <c r="T41" s="2284">
        <f>ROUND(IPMT(($AA$3%+0.35%)/11,1,$D$171-$D$40+1,$P$172-(SUM($P$4:P40)))*-1,2)</f>
        <v>0</v>
      </c>
      <c r="U41" s="2284"/>
      <c r="V41" s="2284"/>
      <c r="W41" s="2284"/>
      <c r="Y41" s="469"/>
      <c r="Z41" s="469"/>
    </row>
    <row r="42" spans="1:26" ht="14.1" customHeight="1">
      <c r="A42" s="2280">
        <v>39</v>
      </c>
      <c r="B42" s="2281"/>
      <c r="C42" s="2281"/>
      <c r="D42" s="2275">
        <f t="shared" ref="D42:D51" si="3">$D$40</f>
        <v>2017</v>
      </c>
      <c r="E42" s="2275"/>
      <c r="F42" s="2275"/>
      <c r="G42" s="2275"/>
      <c r="H42" s="2275" t="s">
        <v>297</v>
      </c>
      <c r="I42" s="2275"/>
      <c r="J42" s="2275"/>
      <c r="K42" s="2275"/>
      <c r="L42" s="2275"/>
      <c r="M42" s="2275"/>
      <c r="N42" s="2275"/>
      <c r="O42" s="2275"/>
      <c r="P42" s="2282">
        <v>0</v>
      </c>
      <c r="Q42" s="2283"/>
      <c r="R42" s="2283"/>
      <c r="S42" s="2283"/>
      <c r="T42" s="2284">
        <f>ROUND(IPMT(($AA$3%+0.35%)/11,1,$D$171-$D$40+1,$P$172-(SUM($P$4:P41)))*-1,2)</f>
        <v>0</v>
      </c>
      <c r="U42" s="2284"/>
      <c r="V42" s="2284"/>
      <c r="W42" s="2284"/>
      <c r="Y42" s="469"/>
      <c r="Z42" s="469"/>
    </row>
    <row r="43" spans="1:26" ht="14.1" customHeight="1">
      <c r="A43" s="2280">
        <v>40</v>
      </c>
      <c r="B43" s="2281"/>
      <c r="C43" s="2281"/>
      <c r="D43" s="2275">
        <f t="shared" si="3"/>
        <v>2017</v>
      </c>
      <c r="E43" s="2275"/>
      <c r="F43" s="2275"/>
      <c r="G43" s="2275"/>
      <c r="H43" s="2275" t="s">
        <v>298</v>
      </c>
      <c r="I43" s="2275"/>
      <c r="J43" s="2275"/>
      <c r="K43" s="2275"/>
      <c r="L43" s="2275"/>
      <c r="M43" s="2275"/>
      <c r="N43" s="2275"/>
      <c r="O43" s="2275"/>
      <c r="P43" s="2282">
        <v>0</v>
      </c>
      <c r="Q43" s="2283"/>
      <c r="R43" s="2283"/>
      <c r="S43" s="2283"/>
      <c r="T43" s="2284">
        <f>ROUND(IPMT(($AA$3%+0.35%)/11,1,$D$171-$D$40+1,$P$172-(SUM($P$4:P42)))*-1,2)</f>
        <v>0</v>
      </c>
      <c r="U43" s="2284"/>
      <c r="V43" s="2284"/>
      <c r="W43" s="2284"/>
      <c r="Y43" s="469"/>
      <c r="Z43" s="469"/>
    </row>
    <row r="44" spans="1:26" ht="14.1" customHeight="1">
      <c r="A44" s="2280">
        <v>41</v>
      </c>
      <c r="B44" s="2281"/>
      <c r="C44" s="2281"/>
      <c r="D44" s="2275">
        <f t="shared" si="3"/>
        <v>2017</v>
      </c>
      <c r="E44" s="2275"/>
      <c r="F44" s="2275"/>
      <c r="G44" s="2275"/>
      <c r="H44" s="2275" t="s">
        <v>299</v>
      </c>
      <c r="I44" s="2275"/>
      <c r="J44" s="2275"/>
      <c r="K44" s="2275"/>
      <c r="L44" s="2275"/>
      <c r="M44" s="2275"/>
      <c r="N44" s="2275"/>
      <c r="O44" s="2275"/>
      <c r="P44" s="2282">
        <v>0</v>
      </c>
      <c r="Q44" s="2283"/>
      <c r="R44" s="2283"/>
      <c r="S44" s="2283"/>
      <c r="T44" s="2284">
        <f>ROUND(IPMT(($AA$3%+0.35%)/11,1,$D$171-$D$40+1,$P$172-(SUM($P$4:P43)))*-1,2)</f>
        <v>0</v>
      </c>
      <c r="U44" s="2284"/>
      <c r="V44" s="2284"/>
      <c r="W44" s="2284"/>
      <c r="Y44" s="469"/>
      <c r="Z44" s="469"/>
    </row>
    <row r="45" spans="1:26" ht="14.1" customHeight="1">
      <c r="A45" s="2280">
        <v>42</v>
      </c>
      <c r="B45" s="2281"/>
      <c r="C45" s="2281"/>
      <c r="D45" s="2275">
        <f t="shared" si="3"/>
        <v>2017</v>
      </c>
      <c r="E45" s="2275"/>
      <c r="F45" s="2275"/>
      <c r="G45" s="2275"/>
      <c r="H45" s="2275" t="s">
        <v>300</v>
      </c>
      <c r="I45" s="2275"/>
      <c r="J45" s="2275"/>
      <c r="K45" s="2275"/>
      <c r="L45" s="2275"/>
      <c r="M45" s="2275"/>
      <c r="N45" s="2275"/>
      <c r="O45" s="2275"/>
      <c r="P45" s="2282">
        <v>0</v>
      </c>
      <c r="Q45" s="2283"/>
      <c r="R45" s="2283"/>
      <c r="S45" s="2283"/>
      <c r="T45" s="2284">
        <f>ROUND(IPMT(($AA$3%+0.35%)/11,1,$D$171-$D$40+1,$P$172-(SUM($P$4:P44)))*-1,2)</f>
        <v>0</v>
      </c>
      <c r="U45" s="2284"/>
      <c r="V45" s="2284"/>
      <c r="W45" s="2284"/>
      <c r="Y45" s="469"/>
      <c r="Z45" s="469"/>
    </row>
    <row r="46" spans="1:26" ht="14.1" customHeight="1">
      <c r="A46" s="2280">
        <v>43</v>
      </c>
      <c r="B46" s="2281"/>
      <c r="C46" s="2281"/>
      <c r="D46" s="2275">
        <f t="shared" si="3"/>
        <v>2017</v>
      </c>
      <c r="E46" s="2275"/>
      <c r="F46" s="2275"/>
      <c r="G46" s="2275"/>
      <c r="H46" s="2275" t="s">
        <v>301</v>
      </c>
      <c r="I46" s="2275"/>
      <c r="J46" s="2275"/>
      <c r="K46" s="2275"/>
      <c r="L46" s="2275"/>
      <c r="M46" s="2275"/>
      <c r="N46" s="2275"/>
      <c r="O46" s="2275"/>
      <c r="P46" s="2282">
        <v>0</v>
      </c>
      <c r="Q46" s="2283"/>
      <c r="R46" s="2283"/>
      <c r="S46" s="2283"/>
      <c r="T46" s="2284">
        <f>ROUND(IPMT(($AA$3%+0.35%)/11,1,$D$171-$D$40+1,$P$172-(SUM($P$4:P45)))*-1,2)</f>
        <v>0</v>
      </c>
      <c r="U46" s="2284"/>
      <c r="V46" s="2284"/>
      <c r="W46" s="2284"/>
      <c r="Y46" s="469"/>
      <c r="Z46" s="469"/>
    </row>
    <row r="47" spans="1:26" ht="14.1" customHeight="1">
      <c r="A47" s="2280">
        <v>44</v>
      </c>
      <c r="B47" s="2281"/>
      <c r="C47" s="2281"/>
      <c r="D47" s="2275">
        <f t="shared" si="3"/>
        <v>2017</v>
      </c>
      <c r="E47" s="2275"/>
      <c r="F47" s="2275"/>
      <c r="G47" s="2275"/>
      <c r="H47" s="2275" t="s">
        <v>302</v>
      </c>
      <c r="I47" s="2275"/>
      <c r="J47" s="2275"/>
      <c r="K47" s="2275"/>
      <c r="L47" s="2275"/>
      <c r="M47" s="2275"/>
      <c r="N47" s="2275"/>
      <c r="O47" s="2275"/>
      <c r="P47" s="2282">
        <v>0</v>
      </c>
      <c r="Q47" s="2283"/>
      <c r="R47" s="2283"/>
      <c r="S47" s="2283"/>
      <c r="T47" s="2284">
        <f>ROUND(IPMT(($AA$3%+0.35%)/11,1,$D$171-$D$40+1,$P$172-(SUM($P$4:P46)))*-1,2)</f>
        <v>0</v>
      </c>
      <c r="U47" s="2284"/>
      <c r="V47" s="2284"/>
      <c r="W47" s="2284"/>
      <c r="Y47" s="469"/>
      <c r="Z47" s="469"/>
    </row>
    <row r="48" spans="1:26" ht="14.1" customHeight="1">
      <c r="A48" s="2280">
        <v>45</v>
      </c>
      <c r="B48" s="2281"/>
      <c r="C48" s="2281"/>
      <c r="D48" s="2275">
        <f t="shared" si="3"/>
        <v>2017</v>
      </c>
      <c r="E48" s="2275"/>
      <c r="F48" s="2275"/>
      <c r="G48" s="2275"/>
      <c r="H48" s="2275" t="s">
        <v>303</v>
      </c>
      <c r="I48" s="2275"/>
      <c r="J48" s="2275"/>
      <c r="K48" s="2275"/>
      <c r="L48" s="2275"/>
      <c r="M48" s="2275"/>
      <c r="N48" s="2275"/>
      <c r="O48" s="2275"/>
      <c r="P48" s="2282">
        <v>0</v>
      </c>
      <c r="Q48" s="2283"/>
      <c r="R48" s="2283"/>
      <c r="S48" s="2283"/>
      <c r="T48" s="2284">
        <f>ROUND(IPMT(($AA$3%+0.35%)/11,1,$D$171-$D$40+1,$P$172-(SUM($P$4:P47)))*-1,2)</f>
        <v>0</v>
      </c>
      <c r="U48" s="2284"/>
      <c r="V48" s="2284"/>
      <c r="W48" s="2284"/>
      <c r="Y48" s="469"/>
      <c r="Z48" s="469"/>
    </row>
    <row r="49" spans="1:26" ht="14.1" customHeight="1">
      <c r="A49" s="2280">
        <v>46</v>
      </c>
      <c r="B49" s="2281"/>
      <c r="C49" s="2281"/>
      <c r="D49" s="2275">
        <f t="shared" si="3"/>
        <v>2017</v>
      </c>
      <c r="E49" s="2275"/>
      <c r="F49" s="2275"/>
      <c r="G49" s="2275"/>
      <c r="H49" s="2275" t="s">
        <v>304</v>
      </c>
      <c r="I49" s="2275"/>
      <c r="J49" s="2275"/>
      <c r="K49" s="2275"/>
      <c r="L49" s="2275"/>
      <c r="M49" s="2275"/>
      <c r="N49" s="2275"/>
      <c r="O49" s="2275"/>
      <c r="P49" s="2282">
        <v>0</v>
      </c>
      <c r="Q49" s="2283"/>
      <c r="R49" s="2283"/>
      <c r="S49" s="2283"/>
      <c r="T49" s="2284">
        <f>ROUND(IPMT(($AA$3%+0.35%)/11,1,$D$171-$D$40+1,$P$172-(SUM($P$4:P48)))*-1,2)</f>
        <v>0</v>
      </c>
      <c r="U49" s="2284"/>
      <c r="V49" s="2284"/>
      <c r="W49" s="2284"/>
      <c r="Y49" s="469"/>
      <c r="Z49" s="469"/>
    </row>
    <row r="50" spans="1:26" s="475" customFormat="1" ht="14.1" customHeight="1">
      <c r="A50" s="2311">
        <v>47</v>
      </c>
      <c r="B50" s="2312"/>
      <c r="C50" s="2312"/>
      <c r="D50" s="2313">
        <f t="shared" si="3"/>
        <v>2017</v>
      </c>
      <c r="E50" s="2313"/>
      <c r="F50" s="2313"/>
      <c r="G50" s="2313"/>
      <c r="H50" s="2313" t="s">
        <v>305</v>
      </c>
      <c r="I50" s="2313"/>
      <c r="J50" s="2313"/>
      <c r="K50" s="2313"/>
      <c r="L50" s="2313"/>
      <c r="M50" s="2313"/>
      <c r="N50" s="2313"/>
      <c r="O50" s="2313"/>
      <c r="P50" s="2314">
        <f>'HSZ do groszy'!Q29</f>
        <v>0</v>
      </c>
      <c r="Q50" s="2315"/>
      <c r="R50" s="2315"/>
      <c r="S50" s="2315"/>
      <c r="T50" s="2316">
        <f>ROUND(IPMT(($AA$3%+0.35%)/11,1,$D$171-$D$40+1,$P$172-(SUM($P$4:P49)))*-1,2)</f>
        <v>0</v>
      </c>
      <c r="U50" s="2316"/>
      <c r="V50" s="2316"/>
      <c r="W50" s="2316"/>
      <c r="Y50" s="476"/>
      <c r="Z50" s="476"/>
    </row>
    <row r="51" spans="1:26" ht="14.1" customHeight="1">
      <c r="A51" s="2280">
        <v>48</v>
      </c>
      <c r="B51" s="2281"/>
      <c r="C51" s="2281"/>
      <c r="D51" s="2275">
        <f t="shared" si="3"/>
        <v>2017</v>
      </c>
      <c r="E51" s="2275"/>
      <c r="F51" s="2275"/>
      <c r="G51" s="2275"/>
      <c r="H51" s="2275" t="s">
        <v>306</v>
      </c>
      <c r="I51" s="2275"/>
      <c r="J51" s="2275"/>
      <c r="K51" s="2275"/>
      <c r="L51" s="2275"/>
      <c r="M51" s="2275"/>
      <c r="N51" s="2275"/>
      <c r="O51" s="2275"/>
      <c r="P51" s="2282">
        <v>0</v>
      </c>
      <c r="Q51" s="2283"/>
      <c r="R51" s="2283"/>
      <c r="S51" s="2283"/>
      <c r="T51" s="2284">
        <f>ROUND(IPMT(($AA$3%+0.35%)/11,1,$D$171-$D$40+1,$P$172-(SUM($P$4:P50)))*-1,2)</f>
        <v>0</v>
      </c>
      <c r="U51" s="2284"/>
      <c r="V51" s="2284"/>
      <c r="W51" s="2284"/>
      <c r="Y51" s="472">
        <f>SUM(T40:W51)</f>
        <v>0</v>
      </c>
    </row>
    <row r="52" spans="1:26" ht="14.1" customHeight="1">
      <c r="A52" s="2280">
        <v>49</v>
      </c>
      <c r="B52" s="2281"/>
      <c r="C52" s="2281"/>
      <c r="D52" s="2275">
        <f>D40+1</f>
        <v>2018</v>
      </c>
      <c r="E52" s="2275"/>
      <c r="F52" s="2275"/>
      <c r="G52" s="2275"/>
      <c r="H52" s="2275" t="s">
        <v>295</v>
      </c>
      <c r="I52" s="2275"/>
      <c r="J52" s="2275"/>
      <c r="K52" s="2275"/>
      <c r="L52" s="2275"/>
      <c r="M52" s="2275"/>
      <c r="N52" s="2275"/>
      <c r="O52" s="2275"/>
      <c r="P52" s="2282">
        <v>0</v>
      </c>
      <c r="Q52" s="2283"/>
      <c r="R52" s="2283"/>
      <c r="S52" s="2283"/>
      <c r="T52" s="2284">
        <f>ROUND(IPMT(($AA$3%+0.35%)/11,1,$D$171-$D$40+1,$P$172-(SUM($P$4:P51)))*-1,2)</f>
        <v>0</v>
      </c>
      <c r="U52" s="2284"/>
      <c r="V52" s="2284"/>
      <c r="W52" s="2284"/>
      <c r="Y52" s="469"/>
      <c r="Z52" s="469"/>
    </row>
    <row r="53" spans="1:26" ht="14.1" customHeight="1">
      <c r="A53" s="2280">
        <v>50</v>
      </c>
      <c r="B53" s="2281"/>
      <c r="C53" s="2281"/>
      <c r="D53" s="2275">
        <f>$D$52</f>
        <v>2018</v>
      </c>
      <c r="E53" s="2275"/>
      <c r="F53" s="2275"/>
      <c r="G53" s="2275"/>
      <c r="H53" s="2275" t="s">
        <v>296</v>
      </c>
      <c r="I53" s="2275"/>
      <c r="J53" s="2275"/>
      <c r="K53" s="2275"/>
      <c r="L53" s="2275"/>
      <c r="M53" s="2275"/>
      <c r="N53" s="2275"/>
      <c r="O53" s="2275"/>
      <c r="P53" s="2282">
        <v>0</v>
      </c>
      <c r="Q53" s="2283"/>
      <c r="R53" s="2283"/>
      <c r="S53" s="2283"/>
      <c r="T53" s="2284">
        <f>ROUND(IPMT(($AA$3%+0.35%)/11,1,$D$171-$D$52+1,$P$172-(SUM($P$4:P52)))*-1,2)</f>
        <v>0</v>
      </c>
      <c r="U53" s="2284"/>
      <c r="V53" s="2284"/>
      <c r="W53" s="2284"/>
      <c r="Y53" s="469"/>
      <c r="Z53" s="469"/>
    </row>
    <row r="54" spans="1:26" ht="14.1" customHeight="1">
      <c r="A54" s="2280">
        <v>51</v>
      </c>
      <c r="B54" s="2281"/>
      <c r="C54" s="2281"/>
      <c r="D54" s="2275">
        <f t="shared" ref="D54:D63" si="4">$D$52</f>
        <v>2018</v>
      </c>
      <c r="E54" s="2275"/>
      <c r="F54" s="2275"/>
      <c r="G54" s="2275"/>
      <c r="H54" s="2275" t="s">
        <v>297</v>
      </c>
      <c r="I54" s="2275"/>
      <c r="J54" s="2275"/>
      <c r="K54" s="2275"/>
      <c r="L54" s="2275"/>
      <c r="M54" s="2275"/>
      <c r="N54" s="2275"/>
      <c r="O54" s="2275"/>
      <c r="P54" s="2282">
        <v>0</v>
      </c>
      <c r="Q54" s="2283"/>
      <c r="R54" s="2283"/>
      <c r="S54" s="2283"/>
      <c r="T54" s="2284">
        <f>ROUND(IPMT(($AA$3%+0.35%)/11,1,$D$171-$D$52+1,$P$172-(SUM($P$4:P53)))*-1,2)</f>
        <v>0</v>
      </c>
      <c r="U54" s="2284"/>
      <c r="V54" s="2284"/>
      <c r="W54" s="2284"/>
      <c r="Y54" s="469"/>
      <c r="Z54" s="469"/>
    </row>
    <row r="55" spans="1:26" ht="14.1" customHeight="1">
      <c r="A55" s="2280">
        <v>52</v>
      </c>
      <c r="B55" s="2281"/>
      <c r="C55" s="2281"/>
      <c r="D55" s="2275">
        <f t="shared" si="4"/>
        <v>2018</v>
      </c>
      <c r="E55" s="2275"/>
      <c r="F55" s="2275"/>
      <c r="G55" s="2275"/>
      <c r="H55" s="2275" t="s">
        <v>298</v>
      </c>
      <c r="I55" s="2275"/>
      <c r="J55" s="2275"/>
      <c r="K55" s="2275"/>
      <c r="L55" s="2275"/>
      <c r="M55" s="2275"/>
      <c r="N55" s="2275"/>
      <c r="O55" s="2275"/>
      <c r="P55" s="2282">
        <v>0</v>
      </c>
      <c r="Q55" s="2283"/>
      <c r="R55" s="2283"/>
      <c r="S55" s="2283"/>
      <c r="T55" s="2284">
        <f>ROUND(IPMT(($AA$3%+0.35%)/11,1,$D$171-$D$52+1,$P$172-(SUM($P$4:P54)))*-1,2)</f>
        <v>0</v>
      </c>
      <c r="U55" s="2284"/>
      <c r="V55" s="2284"/>
      <c r="W55" s="2284"/>
      <c r="Y55" s="469"/>
      <c r="Z55" s="469"/>
    </row>
    <row r="56" spans="1:26" ht="14.1" customHeight="1">
      <c r="A56" s="2280">
        <v>53</v>
      </c>
      <c r="B56" s="2281"/>
      <c r="C56" s="2281"/>
      <c r="D56" s="2275">
        <f t="shared" si="4"/>
        <v>2018</v>
      </c>
      <c r="E56" s="2275"/>
      <c r="F56" s="2275"/>
      <c r="G56" s="2275"/>
      <c r="H56" s="2275" t="s">
        <v>299</v>
      </c>
      <c r="I56" s="2275"/>
      <c r="J56" s="2275"/>
      <c r="K56" s="2275"/>
      <c r="L56" s="2275"/>
      <c r="M56" s="2275"/>
      <c r="N56" s="2275"/>
      <c r="O56" s="2275"/>
      <c r="P56" s="2282">
        <v>0</v>
      </c>
      <c r="Q56" s="2283"/>
      <c r="R56" s="2283"/>
      <c r="S56" s="2283"/>
      <c r="T56" s="2284">
        <f>ROUND(IPMT(($AA$3%+0.35%)/11,1,$D$171-$D$52+1,$P$172-(SUM($P$4:P55)))*-1,2)</f>
        <v>0</v>
      </c>
      <c r="U56" s="2284"/>
      <c r="V56" s="2284"/>
      <c r="W56" s="2284"/>
      <c r="Y56" s="469"/>
      <c r="Z56" s="469"/>
    </row>
    <row r="57" spans="1:26" ht="14.1" customHeight="1">
      <c r="A57" s="2280">
        <v>54</v>
      </c>
      <c r="B57" s="2281"/>
      <c r="C57" s="2281"/>
      <c r="D57" s="2275">
        <f t="shared" si="4"/>
        <v>2018</v>
      </c>
      <c r="E57" s="2275"/>
      <c r="F57" s="2275"/>
      <c r="G57" s="2275"/>
      <c r="H57" s="2275" t="s">
        <v>300</v>
      </c>
      <c r="I57" s="2275"/>
      <c r="J57" s="2275"/>
      <c r="K57" s="2275"/>
      <c r="L57" s="2275"/>
      <c r="M57" s="2275"/>
      <c r="N57" s="2275"/>
      <c r="O57" s="2275"/>
      <c r="P57" s="2282">
        <v>0</v>
      </c>
      <c r="Q57" s="2283"/>
      <c r="R57" s="2283"/>
      <c r="S57" s="2283"/>
      <c r="T57" s="2284">
        <f>ROUND(IPMT(($AA$3%+0.35%)/11,1,$D$171-$D$52+1,$P$172-(SUM($P$4:P56)))*-1,2)</f>
        <v>0</v>
      </c>
      <c r="U57" s="2284"/>
      <c r="V57" s="2284"/>
      <c r="W57" s="2284"/>
      <c r="Y57" s="469"/>
      <c r="Z57" s="469"/>
    </row>
    <row r="58" spans="1:26" ht="14.1" customHeight="1">
      <c r="A58" s="2280">
        <v>55</v>
      </c>
      <c r="B58" s="2281"/>
      <c r="C58" s="2281"/>
      <c r="D58" s="2275">
        <f t="shared" si="4"/>
        <v>2018</v>
      </c>
      <c r="E58" s="2275"/>
      <c r="F58" s="2275"/>
      <c r="G58" s="2275"/>
      <c r="H58" s="2275" t="s">
        <v>301</v>
      </c>
      <c r="I58" s="2275"/>
      <c r="J58" s="2275"/>
      <c r="K58" s="2275"/>
      <c r="L58" s="2275"/>
      <c r="M58" s="2275"/>
      <c r="N58" s="2275"/>
      <c r="O58" s="2275"/>
      <c r="P58" s="2282">
        <v>0</v>
      </c>
      <c r="Q58" s="2283"/>
      <c r="R58" s="2283"/>
      <c r="S58" s="2283"/>
      <c r="T58" s="2284">
        <f>ROUND(IPMT(($AA$3%+0.35%)/11,1,$D$171-$D$52+1,$P$172-(SUM($P$4:P57)))*-1,2)</f>
        <v>0</v>
      </c>
      <c r="U58" s="2284"/>
      <c r="V58" s="2284"/>
      <c r="W58" s="2284"/>
      <c r="Y58" s="469"/>
      <c r="Z58" s="469"/>
    </row>
    <row r="59" spans="1:26" ht="14.1" customHeight="1">
      <c r="A59" s="2280">
        <v>56</v>
      </c>
      <c r="B59" s="2281"/>
      <c r="C59" s="2281"/>
      <c r="D59" s="2275">
        <f t="shared" si="4"/>
        <v>2018</v>
      </c>
      <c r="E59" s="2275"/>
      <c r="F59" s="2275"/>
      <c r="G59" s="2275"/>
      <c r="H59" s="2275" t="s">
        <v>302</v>
      </c>
      <c r="I59" s="2275"/>
      <c r="J59" s="2275"/>
      <c r="K59" s="2275"/>
      <c r="L59" s="2275"/>
      <c r="M59" s="2275"/>
      <c r="N59" s="2275"/>
      <c r="O59" s="2275"/>
      <c r="P59" s="2282">
        <v>0</v>
      </c>
      <c r="Q59" s="2283"/>
      <c r="R59" s="2283"/>
      <c r="S59" s="2283"/>
      <c r="T59" s="2284">
        <f>ROUND(IPMT(($AA$3%+0.35%)/11,1,$D$171-$D$52+1,$P$172-(SUM($P$4:P58)))*-1,2)</f>
        <v>0</v>
      </c>
      <c r="U59" s="2284"/>
      <c r="V59" s="2284"/>
      <c r="W59" s="2284"/>
      <c r="Y59" s="469"/>
      <c r="Z59" s="469"/>
    </row>
    <row r="60" spans="1:26" ht="14.1" customHeight="1">
      <c r="A60" s="2280">
        <v>57</v>
      </c>
      <c r="B60" s="2281"/>
      <c r="C60" s="2281"/>
      <c r="D60" s="2275">
        <f t="shared" si="4"/>
        <v>2018</v>
      </c>
      <c r="E60" s="2275"/>
      <c r="F60" s="2275"/>
      <c r="G60" s="2275"/>
      <c r="H60" s="2275" t="s">
        <v>303</v>
      </c>
      <c r="I60" s="2275"/>
      <c r="J60" s="2275"/>
      <c r="K60" s="2275"/>
      <c r="L60" s="2275"/>
      <c r="M60" s="2275"/>
      <c r="N60" s="2275"/>
      <c r="O60" s="2275"/>
      <c r="P60" s="2282">
        <v>0</v>
      </c>
      <c r="Q60" s="2283"/>
      <c r="R60" s="2283"/>
      <c r="S60" s="2283"/>
      <c r="T60" s="2284">
        <f>ROUND(IPMT(($AA$3%+0.35%)/11,1,$D$171-$D$52+1,$P$172-(SUM($P$4:P59)))*-1,2)</f>
        <v>0</v>
      </c>
      <c r="U60" s="2284"/>
      <c r="V60" s="2284"/>
      <c r="W60" s="2284"/>
      <c r="Y60" s="469"/>
      <c r="Z60" s="469"/>
    </row>
    <row r="61" spans="1:26" ht="14.1" customHeight="1">
      <c r="A61" s="2280">
        <v>58</v>
      </c>
      <c r="B61" s="2281"/>
      <c r="C61" s="2281"/>
      <c r="D61" s="2275">
        <f t="shared" si="4"/>
        <v>2018</v>
      </c>
      <c r="E61" s="2275"/>
      <c r="F61" s="2275"/>
      <c r="G61" s="2275"/>
      <c r="H61" s="2275" t="s">
        <v>304</v>
      </c>
      <c r="I61" s="2275"/>
      <c r="J61" s="2275"/>
      <c r="K61" s="2275"/>
      <c r="L61" s="2275"/>
      <c r="M61" s="2275"/>
      <c r="N61" s="2275"/>
      <c r="O61" s="2275"/>
      <c r="P61" s="2282">
        <v>0</v>
      </c>
      <c r="Q61" s="2283"/>
      <c r="R61" s="2283"/>
      <c r="S61" s="2283"/>
      <c r="T61" s="2284">
        <f>ROUND(IPMT(($AA$3%+0.35%)/11,1,$D$171-$D$52+1,$P$172-(SUM($P$4:P60)))*-1,2)</f>
        <v>0</v>
      </c>
      <c r="U61" s="2284"/>
      <c r="V61" s="2284"/>
      <c r="W61" s="2284"/>
      <c r="Y61" s="469"/>
      <c r="Z61" s="469"/>
    </row>
    <row r="62" spans="1:26" s="475" customFormat="1" ht="14.1" customHeight="1">
      <c r="A62" s="2311">
        <v>59</v>
      </c>
      <c r="B62" s="2312"/>
      <c r="C62" s="2312"/>
      <c r="D62" s="2313">
        <f t="shared" si="4"/>
        <v>2018</v>
      </c>
      <c r="E62" s="2313"/>
      <c r="F62" s="2313"/>
      <c r="G62" s="2313"/>
      <c r="H62" s="2313" t="s">
        <v>305</v>
      </c>
      <c r="I62" s="2313"/>
      <c r="J62" s="2313"/>
      <c r="K62" s="2313"/>
      <c r="L62" s="2313"/>
      <c r="M62" s="2313"/>
      <c r="N62" s="2313"/>
      <c r="O62" s="2313"/>
      <c r="P62" s="2314">
        <f>'HSZ do groszy'!S29</f>
        <v>0</v>
      </c>
      <c r="Q62" s="2315"/>
      <c r="R62" s="2315"/>
      <c r="S62" s="2315"/>
      <c r="T62" s="2316">
        <f>ROUND(IPMT(($AA$3%+0.35%)/11,1,$D$171-$D$52+1,$P$172-(SUM($P$4:P61)))*-1,2)</f>
        <v>0</v>
      </c>
      <c r="U62" s="2316"/>
      <c r="V62" s="2316"/>
      <c r="W62" s="2316"/>
      <c r="Y62" s="476"/>
      <c r="Z62" s="476"/>
    </row>
    <row r="63" spans="1:26" ht="14.1" customHeight="1">
      <c r="A63" s="2280">
        <v>60</v>
      </c>
      <c r="B63" s="2281"/>
      <c r="C63" s="2281"/>
      <c r="D63" s="2275">
        <f t="shared" si="4"/>
        <v>2018</v>
      </c>
      <c r="E63" s="2275"/>
      <c r="F63" s="2275"/>
      <c r="G63" s="2275"/>
      <c r="H63" s="2275" t="s">
        <v>306</v>
      </c>
      <c r="I63" s="2275"/>
      <c r="J63" s="2275"/>
      <c r="K63" s="2275"/>
      <c r="L63" s="2275"/>
      <c r="M63" s="2275"/>
      <c r="N63" s="2275"/>
      <c r="O63" s="2275"/>
      <c r="P63" s="2282">
        <v>0</v>
      </c>
      <c r="Q63" s="2283"/>
      <c r="R63" s="2283"/>
      <c r="S63" s="2283"/>
      <c r="T63" s="2284">
        <f>ROUND(IPMT(($AA$3%+0.35%)/11,1,$D$171-$D$52+1,$P$172-(SUM($P$4:P62)))*-1,2)</f>
        <v>0</v>
      </c>
      <c r="U63" s="2284"/>
      <c r="V63" s="2284"/>
      <c r="W63" s="2284"/>
      <c r="Y63" s="472">
        <f>SUM(T52:W63)</f>
        <v>0</v>
      </c>
    </row>
    <row r="64" spans="1:26" ht="14.1" customHeight="1">
      <c r="A64" s="2280">
        <v>13</v>
      </c>
      <c r="B64" s="2281"/>
      <c r="C64" s="2281"/>
      <c r="D64" s="2275">
        <f>D52+1</f>
        <v>2019</v>
      </c>
      <c r="E64" s="2275"/>
      <c r="F64" s="2275"/>
      <c r="G64" s="2275"/>
      <c r="H64" s="2275" t="s">
        <v>295</v>
      </c>
      <c r="I64" s="2275"/>
      <c r="J64" s="2275"/>
      <c r="K64" s="2275"/>
      <c r="L64" s="2275"/>
      <c r="M64" s="2275"/>
      <c r="N64" s="2275"/>
      <c r="O64" s="2275"/>
      <c r="P64" s="2282">
        <v>0</v>
      </c>
      <c r="Q64" s="2283"/>
      <c r="R64" s="2283"/>
      <c r="S64" s="2283"/>
      <c r="T64" s="2284">
        <f>ROUND(IPMT(($AA$3%+0.35%)/11,1,$D$171-$D$52+1,$P$172-(SUM($P$4:P63)))*-1,2)</f>
        <v>0</v>
      </c>
      <c r="U64" s="2284"/>
      <c r="V64" s="2284"/>
      <c r="W64" s="2284"/>
      <c r="Y64" s="469"/>
      <c r="Z64" s="469"/>
    </row>
    <row r="65" spans="1:26" ht="14.1" customHeight="1">
      <c r="A65" s="2280">
        <v>14</v>
      </c>
      <c r="B65" s="2281"/>
      <c r="C65" s="2281"/>
      <c r="D65" s="2275">
        <f>$D$64</f>
        <v>2019</v>
      </c>
      <c r="E65" s="2275"/>
      <c r="F65" s="2275"/>
      <c r="G65" s="2275"/>
      <c r="H65" s="2275" t="s">
        <v>296</v>
      </c>
      <c r="I65" s="2275"/>
      <c r="J65" s="2275"/>
      <c r="K65" s="2275"/>
      <c r="L65" s="2275"/>
      <c r="M65" s="2275"/>
      <c r="N65" s="2275"/>
      <c r="O65" s="2275"/>
      <c r="P65" s="2282">
        <v>0</v>
      </c>
      <c r="Q65" s="2283"/>
      <c r="R65" s="2283"/>
      <c r="S65" s="2283"/>
      <c r="T65" s="2284">
        <f>ROUND(IPMT(($AA$3%+0.35%)/11,1,$D$171-$D$64+1,$P$172-(SUM($P$4:P64)))*-1,2)</f>
        <v>0</v>
      </c>
      <c r="U65" s="2284"/>
      <c r="V65" s="2284"/>
      <c r="W65" s="2284"/>
      <c r="Y65" s="469"/>
      <c r="Z65" s="469"/>
    </row>
    <row r="66" spans="1:26" ht="14.1" customHeight="1">
      <c r="A66" s="2280">
        <v>15</v>
      </c>
      <c r="B66" s="2281"/>
      <c r="C66" s="2281"/>
      <c r="D66" s="2275">
        <f t="shared" ref="D66:D75" si="5">$D$64</f>
        <v>2019</v>
      </c>
      <c r="E66" s="2275"/>
      <c r="F66" s="2275"/>
      <c r="G66" s="2275"/>
      <c r="H66" s="2275" t="s">
        <v>297</v>
      </c>
      <c r="I66" s="2275"/>
      <c r="J66" s="2275"/>
      <c r="K66" s="2275"/>
      <c r="L66" s="2275"/>
      <c r="M66" s="2275"/>
      <c r="N66" s="2275"/>
      <c r="O66" s="2275"/>
      <c r="P66" s="2282">
        <v>0</v>
      </c>
      <c r="Q66" s="2283"/>
      <c r="R66" s="2283"/>
      <c r="S66" s="2283"/>
      <c r="T66" s="2284">
        <f>ROUND(IPMT(($AA$3%+0.35%)/11,1,$D$171-$D$64+1,$P$172-(SUM($P$4:P65)))*-1,2)</f>
        <v>0</v>
      </c>
      <c r="U66" s="2284"/>
      <c r="V66" s="2284"/>
      <c r="W66" s="2284"/>
      <c r="Y66" s="469"/>
      <c r="Z66" s="469"/>
    </row>
    <row r="67" spans="1:26" ht="14.1" customHeight="1">
      <c r="A67" s="2280">
        <v>16</v>
      </c>
      <c r="B67" s="2281"/>
      <c r="C67" s="2281"/>
      <c r="D67" s="2275">
        <f t="shared" si="5"/>
        <v>2019</v>
      </c>
      <c r="E67" s="2275"/>
      <c r="F67" s="2275"/>
      <c r="G67" s="2275"/>
      <c r="H67" s="2275" t="s">
        <v>298</v>
      </c>
      <c r="I67" s="2275"/>
      <c r="J67" s="2275"/>
      <c r="K67" s="2275"/>
      <c r="L67" s="2275"/>
      <c r="M67" s="2275"/>
      <c r="N67" s="2275"/>
      <c r="O67" s="2275"/>
      <c r="P67" s="2282">
        <v>0</v>
      </c>
      <c r="Q67" s="2283"/>
      <c r="R67" s="2283"/>
      <c r="S67" s="2283"/>
      <c r="T67" s="2284">
        <f>ROUND(IPMT(($AA$3%+0.35%)/11,1,$D$171-$D$64+1,$P$172-(SUM($P$4:P66)))*-1,2)</f>
        <v>0</v>
      </c>
      <c r="U67" s="2284"/>
      <c r="V67" s="2284"/>
      <c r="W67" s="2284"/>
      <c r="Y67" s="469"/>
      <c r="Z67" s="469"/>
    </row>
    <row r="68" spans="1:26" ht="14.1" customHeight="1">
      <c r="A68" s="2280">
        <v>17</v>
      </c>
      <c r="B68" s="2281"/>
      <c r="C68" s="2281"/>
      <c r="D68" s="2275">
        <f t="shared" si="5"/>
        <v>2019</v>
      </c>
      <c r="E68" s="2275"/>
      <c r="F68" s="2275"/>
      <c r="G68" s="2275"/>
      <c r="H68" s="2275" t="s">
        <v>299</v>
      </c>
      <c r="I68" s="2275"/>
      <c r="J68" s="2275"/>
      <c r="K68" s="2275"/>
      <c r="L68" s="2275"/>
      <c r="M68" s="2275"/>
      <c r="N68" s="2275"/>
      <c r="O68" s="2275"/>
      <c r="P68" s="2282">
        <v>0</v>
      </c>
      <c r="Q68" s="2283"/>
      <c r="R68" s="2283"/>
      <c r="S68" s="2283"/>
      <c r="T68" s="2284">
        <f>ROUND(IPMT(($AA$3%+0.35%)/11,1,$D$171-$D$64+1,$P$172-(SUM($P$4:P67)))*-1,2)</f>
        <v>0</v>
      </c>
      <c r="U68" s="2284"/>
      <c r="V68" s="2284"/>
      <c r="W68" s="2284"/>
      <c r="Y68" s="469"/>
      <c r="Z68" s="469"/>
    </row>
    <row r="69" spans="1:26" ht="14.1" customHeight="1">
      <c r="A69" s="2280">
        <v>18</v>
      </c>
      <c r="B69" s="2281"/>
      <c r="C69" s="2281"/>
      <c r="D69" s="2275">
        <f t="shared" si="5"/>
        <v>2019</v>
      </c>
      <c r="E69" s="2275"/>
      <c r="F69" s="2275"/>
      <c r="G69" s="2275"/>
      <c r="H69" s="2275" t="s">
        <v>300</v>
      </c>
      <c r="I69" s="2275"/>
      <c r="J69" s="2275"/>
      <c r="K69" s="2275"/>
      <c r="L69" s="2275"/>
      <c r="M69" s="2275"/>
      <c r="N69" s="2275"/>
      <c r="O69" s="2275"/>
      <c r="P69" s="2282">
        <v>0</v>
      </c>
      <c r="Q69" s="2283"/>
      <c r="R69" s="2283"/>
      <c r="S69" s="2283"/>
      <c r="T69" s="2284">
        <f>ROUND(IPMT(($AA$3%+0.35%)/11,1,$D$171-$D$64+1,$P$172-(SUM($P$4:P68)))*-1,2)</f>
        <v>0</v>
      </c>
      <c r="U69" s="2284"/>
      <c r="V69" s="2284"/>
      <c r="W69" s="2284"/>
      <c r="Y69" s="469"/>
      <c r="Z69" s="469"/>
    </row>
    <row r="70" spans="1:26" ht="14.1" customHeight="1">
      <c r="A70" s="2280">
        <v>19</v>
      </c>
      <c r="B70" s="2281"/>
      <c r="C70" s="2281"/>
      <c r="D70" s="2275">
        <f t="shared" si="5"/>
        <v>2019</v>
      </c>
      <c r="E70" s="2275"/>
      <c r="F70" s="2275"/>
      <c r="G70" s="2275"/>
      <c r="H70" s="2275" t="s">
        <v>301</v>
      </c>
      <c r="I70" s="2275"/>
      <c r="J70" s="2275"/>
      <c r="K70" s="2275"/>
      <c r="L70" s="2275"/>
      <c r="M70" s="2275"/>
      <c r="N70" s="2275"/>
      <c r="O70" s="2275"/>
      <c r="P70" s="2282">
        <v>0</v>
      </c>
      <c r="Q70" s="2283"/>
      <c r="R70" s="2283"/>
      <c r="S70" s="2283"/>
      <c r="T70" s="2284">
        <f>ROUND(IPMT(($AA$3%+0.35%)/11,1,$D$171-$D$64+1,$P$172-(SUM($P$4:P69)))*-1,2)</f>
        <v>0</v>
      </c>
      <c r="U70" s="2284"/>
      <c r="V70" s="2284"/>
      <c r="W70" s="2284"/>
      <c r="Y70" s="469"/>
      <c r="Z70" s="469"/>
    </row>
    <row r="71" spans="1:26" ht="14.1" customHeight="1">
      <c r="A71" s="2280">
        <v>20</v>
      </c>
      <c r="B71" s="2281"/>
      <c r="C71" s="2281"/>
      <c r="D71" s="2275">
        <f t="shared" si="5"/>
        <v>2019</v>
      </c>
      <c r="E71" s="2275"/>
      <c r="F71" s="2275"/>
      <c r="G71" s="2275"/>
      <c r="H71" s="2275" t="s">
        <v>302</v>
      </c>
      <c r="I71" s="2275"/>
      <c r="J71" s="2275"/>
      <c r="K71" s="2275"/>
      <c r="L71" s="2275"/>
      <c r="M71" s="2275"/>
      <c r="N71" s="2275"/>
      <c r="O71" s="2275"/>
      <c r="P71" s="2282">
        <v>0</v>
      </c>
      <c r="Q71" s="2283"/>
      <c r="R71" s="2283"/>
      <c r="S71" s="2283"/>
      <c r="T71" s="2284">
        <f>ROUND(IPMT(($AA$3%+0.35%)/11,1,$D$171-$D$64+1,$P$172-(SUM($P$4:P70)))*-1,2)</f>
        <v>0</v>
      </c>
      <c r="U71" s="2284"/>
      <c r="V71" s="2284"/>
      <c r="W71" s="2284"/>
      <c r="Y71" s="469"/>
      <c r="Z71" s="469"/>
    </row>
    <row r="72" spans="1:26" ht="14.1" customHeight="1">
      <c r="A72" s="2280">
        <v>21</v>
      </c>
      <c r="B72" s="2281"/>
      <c r="C72" s="2281"/>
      <c r="D72" s="2275">
        <f t="shared" si="5"/>
        <v>2019</v>
      </c>
      <c r="E72" s="2275"/>
      <c r="F72" s="2275"/>
      <c r="G72" s="2275"/>
      <c r="H72" s="2275" t="s">
        <v>303</v>
      </c>
      <c r="I72" s="2275"/>
      <c r="J72" s="2275"/>
      <c r="K72" s="2275"/>
      <c r="L72" s="2275"/>
      <c r="M72" s="2275"/>
      <c r="N72" s="2275"/>
      <c r="O72" s="2275"/>
      <c r="P72" s="2282">
        <v>0</v>
      </c>
      <c r="Q72" s="2283"/>
      <c r="R72" s="2283"/>
      <c r="S72" s="2283"/>
      <c r="T72" s="2284">
        <f>ROUND(IPMT(($AA$3%+0.35%)/11,1,$D$171-$D$64+1,$P$172-(SUM($P$4:P71)))*-1,2)</f>
        <v>0</v>
      </c>
      <c r="U72" s="2284"/>
      <c r="V72" s="2284"/>
      <c r="W72" s="2284"/>
      <c r="Y72" s="469"/>
      <c r="Z72" s="469"/>
    </row>
    <row r="73" spans="1:26" ht="14.1" customHeight="1">
      <c r="A73" s="2280">
        <v>22</v>
      </c>
      <c r="B73" s="2281"/>
      <c r="C73" s="2281"/>
      <c r="D73" s="2275">
        <f t="shared" si="5"/>
        <v>2019</v>
      </c>
      <c r="E73" s="2275"/>
      <c r="F73" s="2275"/>
      <c r="G73" s="2275"/>
      <c r="H73" s="2275" t="s">
        <v>304</v>
      </c>
      <c r="I73" s="2275"/>
      <c r="J73" s="2275"/>
      <c r="K73" s="2275"/>
      <c r="L73" s="2275"/>
      <c r="M73" s="2275"/>
      <c r="N73" s="2275"/>
      <c r="O73" s="2275"/>
      <c r="P73" s="2282">
        <v>0</v>
      </c>
      <c r="Q73" s="2283"/>
      <c r="R73" s="2283"/>
      <c r="S73" s="2283"/>
      <c r="T73" s="2284">
        <f>ROUND(IPMT(($AA$3%+0.35%)/11,1,$D$171-$D$64+1,$P$172-(SUM($P$4:P72)))*-1,2)</f>
        <v>0</v>
      </c>
      <c r="U73" s="2284"/>
      <c r="V73" s="2284"/>
      <c r="W73" s="2284"/>
      <c r="Y73" s="469"/>
      <c r="Z73" s="469"/>
    </row>
    <row r="74" spans="1:26" s="475" customFormat="1" ht="14.1" customHeight="1">
      <c r="A74" s="2311">
        <v>23</v>
      </c>
      <c r="B74" s="2312"/>
      <c r="C74" s="2312"/>
      <c r="D74" s="2313">
        <f t="shared" si="5"/>
        <v>2019</v>
      </c>
      <c r="E74" s="2313"/>
      <c r="F74" s="2313"/>
      <c r="G74" s="2313"/>
      <c r="H74" s="2313" t="s">
        <v>305</v>
      </c>
      <c r="I74" s="2313"/>
      <c r="J74" s="2313"/>
      <c r="K74" s="2313"/>
      <c r="L74" s="2313"/>
      <c r="M74" s="2313"/>
      <c r="N74" s="2313"/>
      <c r="O74" s="2313"/>
      <c r="P74" s="2314">
        <f>'HSZ do groszy'!U29</f>
        <v>0</v>
      </c>
      <c r="Q74" s="2315"/>
      <c r="R74" s="2315"/>
      <c r="S74" s="2315"/>
      <c r="T74" s="2316">
        <f>ROUND(IPMT(($AA$3%+0.35%)/11,1,$D$171-$D$64+1,$P$172-(SUM($P$4:P73)))*-1,2)</f>
        <v>0</v>
      </c>
      <c r="U74" s="2316"/>
      <c r="V74" s="2316"/>
      <c r="W74" s="2316"/>
      <c r="Y74" s="476"/>
      <c r="Z74" s="476"/>
    </row>
    <row r="75" spans="1:26" ht="14.1" customHeight="1">
      <c r="A75" s="2280">
        <v>24</v>
      </c>
      <c r="B75" s="2281"/>
      <c r="C75" s="2281"/>
      <c r="D75" s="2275">
        <f t="shared" si="5"/>
        <v>2019</v>
      </c>
      <c r="E75" s="2275"/>
      <c r="F75" s="2275"/>
      <c r="G75" s="2275"/>
      <c r="H75" s="2275" t="s">
        <v>306</v>
      </c>
      <c r="I75" s="2275"/>
      <c r="J75" s="2275"/>
      <c r="K75" s="2275"/>
      <c r="L75" s="2275"/>
      <c r="M75" s="2275"/>
      <c r="N75" s="2275"/>
      <c r="O75" s="2275"/>
      <c r="P75" s="2282">
        <v>0</v>
      </c>
      <c r="Q75" s="2283"/>
      <c r="R75" s="2283"/>
      <c r="S75" s="2283"/>
      <c r="T75" s="2284">
        <f>ROUND(IPMT(($AA$3%+0.35%)/11,1,$D$171-$D$64+1,$P$172-(SUM($P$4:P74)))*-1,2)</f>
        <v>0</v>
      </c>
      <c r="U75" s="2284"/>
      <c r="V75" s="2284"/>
      <c r="W75" s="2284"/>
      <c r="Y75" s="472">
        <f>SUM(T64:W75)</f>
        <v>0</v>
      </c>
    </row>
    <row r="76" spans="1:26" ht="14.1" customHeight="1">
      <c r="A76" s="2280">
        <v>13</v>
      </c>
      <c r="B76" s="2281"/>
      <c r="C76" s="2281"/>
      <c r="D76" s="2275">
        <f>D64+1</f>
        <v>2020</v>
      </c>
      <c r="E76" s="2275"/>
      <c r="F76" s="2275"/>
      <c r="G76" s="2275"/>
      <c r="H76" s="2275" t="s">
        <v>295</v>
      </c>
      <c r="I76" s="2275"/>
      <c r="J76" s="2275"/>
      <c r="K76" s="2275"/>
      <c r="L76" s="2275"/>
      <c r="M76" s="2275"/>
      <c r="N76" s="2275"/>
      <c r="O76" s="2275"/>
      <c r="P76" s="2282">
        <v>0</v>
      </c>
      <c r="Q76" s="2283"/>
      <c r="R76" s="2283"/>
      <c r="S76" s="2283"/>
      <c r="T76" s="2284">
        <f>ROUND(IPMT(($AA$3%+0.35%)/11,1,$D$171-$D$64+1,$P$172-(SUM($P$4:P75)))*-1,2)</f>
        <v>0</v>
      </c>
      <c r="U76" s="2284"/>
      <c r="V76" s="2284"/>
      <c r="W76" s="2284"/>
      <c r="Y76" s="469"/>
      <c r="Z76" s="469"/>
    </row>
    <row r="77" spans="1:26" ht="14.1" customHeight="1">
      <c r="A77" s="2280">
        <v>14</v>
      </c>
      <c r="B77" s="2281"/>
      <c r="C77" s="2281"/>
      <c r="D77" s="2275">
        <f>$D$76</f>
        <v>2020</v>
      </c>
      <c r="E77" s="2275"/>
      <c r="F77" s="2275"/>
      <c r="G77" s="2275"/>
      <c r="H77" s="2275" t="s">
        <v>296</v>
      </c>
      <c r="I77" s="2275"/>
      <c r="J77" s="2275"/>
      <c r="K77" s="2275"/>
      <c r="L77" s="2275"/>
      <c r="M77" s="2275"/>
      <c r="N77" s="2275"/>
      <c r="O77" s="2275"/>
      <c r="P77" s="2282">
        <v>0</v>
      </c>
      <c r="Q77" s="2283"/>
      <c r="R77" s="2283"/>
      <c r="S77" s="2283"/>
      <c r="T77" s="2284">
        <f>ROUND(IPMT(($AA$3%+0.35%)/11,1,$D$171-$D$76+1,$P$172-(SUM($P$4:P76)))*-1,2)</f>
        <v>0</v>
      </c>
      <c r="U77" s="2284"/>
      <c r="V77" s="2284"/>
      <c r="W77" s="2284"/>
      <c r="Y77" s="469"/>
      <c r="Z77" s="469"/>
    </row>
    <row r="78" spans="1:26" ht="14.1" customHeight="1">
      <c r="A78" s="2280">
        <v>15</v>
      </c>
      <c r="B78" s="2281"/>
      <c r="C78" s="2281"/>
      <c r="D78" s="2275">
        <f t="shared" ref="D78:D87" si="6">$D$76</f>
        <v>2020</v>
      </c>
      <c r="E78" s="2275"/>
      <c r="F78" s="2275"/>
      <c r="G78" s="2275"/>
      <c r="H78" s="2275" t="s">
        <v>297</v>
      </c>
      <c r="I78" s="2275"/>
      <c r="J78" s="2275"/>
      <c r="K78" s="2275"/>
      <c r="L78" s="2275"/>
      <c r="M78" s="2275"/>
      <c r="N78" s="2275"/>
      <c r="O78" s="2275"/>
      <c r="P78" s="2282">
        <v>0</v>
      </c>
      <c r="Q78" s="2283"/>
      <c r="R78" s="2283"/>
      <c r="S78" s="2283"/>
      <c r="T78" s="2284">
        <f>ROUND(IPMT(($AA$3%+0.35%)/11,1,$D$171-$D$76+1,$P$172-(SUM($P$4:P77)))*-1,2)</f>
        <v>0</v>
      </c>
      <c r="U78" s="2284"/>
      <c r="V78" s="2284"/>
      <c r="W78" s="2284"/>
      <c r="Y78" s="469"/>
      <c r="Z78" s="469"/>
    </row>
    <row r="79" spans="1:26" ht="14.1" customHeight="1">
      <c r="A79" s="2280">
        <v>16</v>
      </c>
      <c r="B79" s="2281"/>
      <c r="C79" s="2281"/>
      <c r="D79" s="2275">
        <f t="shared" si="6"/>
        <v>2020</v>
      </c>
      <c r="E79" s="2275"/>
      <c r="F79" s="2275"/>
      <c r="G79" s="2275"/>
      <c r="H79" s="2275" t="s">
        <v>298</v>
      </c>
      <c r="I79" s="2275"/>
      <c r="J79" s="2275"/>
      <c r="K79" s="2275"/>
      <c r="L79" s="2275"/>
      <c r="M79" s="2275"/>
      <c r="N79" s="2275"/>
      <c r="O79" s="2275"/>
      <c r="P79" s="2282">
        <v>0</v>
      </c>
      <c r="Q79" s="2283"/>
      <c r="R79" s="2283"/>
      <c r="S79" s="2283"/>
      <c r="T79" s="2284">
        <f>ROUND(IPMT(($AA$3%+0.35%)/11,1,$D$171-$D$76+1,$P$172-(SUM($P$4:P78)))*-1,2)</f>
        <v>0</v>
      </c>
      <c r="U79" s="2284"/>
      <c r="V79" s="2284"/>
      <c r="W79" s="2284"/>
      <c r="Y79" s="469"/>
      <c r="Z79" s="469"/>
    </row>
    <row r="80" spans="1:26" ht="14.1" customHeight="1">
      <c r="A80" s="2280">
        <v>17</v>
      </c>
      <c r="B80" s="2281"/>
      <c r="C80" s="2281"/>
      <c r="D80" s="2275">
        <f t="shared" si="6"/>
        <v>2020</v>
      </c>
      <c r="E80" s="2275"/>
      <c r="F80" s="2275"/>
      <c r="G80" s="2275"/>
      <c r="H80" s="2275" t="s">
        <v>299</v>
      </c>
      <c r="I80" s="2275"/>
      <c r="J80" s="2275"/>
      <c r="K80" s="2275"/>
      <c r="L80" s="2275"/>
      <c r="M80" s="2275"/>
      <c r="N80" s="2275"/>
      <c r="O80" s="2275"/>
      <c r="P80" s="2282">
        <v>0</v>
      </c>
      <c r="Q80" s="2283"/>
      <c r="R80" s="2283"/>
      <c r="S80" s="2283"/>
      <c r="T80" s="2284">
        <f>ROUND(IPMT(($AA$3%+0.35%)/11,1,$D$171-$D$76+1,$P$172-(SUM($P$4:P79)))*-1,2)</f>
        <v>0</v>
      </c>
      <c r="U80" s="2284"/>
      <c r="V80" s="2284"/>
      <c r="W80" s="2284"/>
      <c r="Y80" s="469"/>
      <c r="Z80" s="469"/>
    </row>
    <row r="81" spans="1:26" ht="14.1" customHeight="1">
      <c r="A81" s="2280">
        <v>18</v>
      </c>
      <c r="B81" s="2281"/>
      <c r="C81" s="2281"/>
      <c r="D81" s="2275">
        <f t="shared" si="6"/>
        <v>2020</v>
      </c>
      <c r="E81" s="2275"/>
      <c r="F81" s="2275"/>
      <c r="G81" s="2275"/>
      <c r="H81" s="2275" t="s">
        <v>300</v>
      </c>
      <c r="I81" s="2275"/>
      <c r="J81" s="2275"/>
      <c r="K81" s="2275"/>
      <c r="L81" s="2275"/>
      <c r="M81" s="2275"/>
      <c r="N81" s="2275"/>
      <c r="O81" s="2275"/>
      <c r="P81" s="2282">
        <v>0</v>
      </c>
      <c r="Q81" s="2283"/>
      <c r="R81" s="2283"/>
      <c r="S81" s="2283"/>
      <c r="T81" s="2284">
        <f>ROUND(IPMT(($AA$3%+0.35%)/11,1,$D$171-$D$76+1,$P$172-(SUM($P$4:P80)))*-1,2)</f>
        <v>0</v>
      </c>
      <c r="U81" s="2284"/>
      <c r="V81" s="2284"/>
      <c r="W81" s="2284"/>
      <c r="Y81" s="469"/>
      <c r="Z81" s="469"/>
    </row>
    <row r="82" spans="1:26" ht="14.1" customHeight="1">
      <c r="A82" s="2280">
        <v>19</v>
      </c>
      <c r="B82" s="2281"/>
      <c r="C82" s="2281"/>
      <c r="D82" s="2275">
        <f t="shared" si="6"/>
        <v>2020</v>
      </c>
      <c r="E82" s="2275"/>
      <c r="F82" s="2275"/>
      <c r="G82" s="2275"/>
      <c r="H82" s="2275" t="s">
        <v>301</v>
      </c>
      <c r="I82" s="2275"/>
      <c r="J82" s="2275"/>
      <c r="K82" s="2275"/>
      <c r="L82" s="2275"/>
      <c r="M82" s="2275"/>
      <c r="N82" s="2275"/>
      <c r="O82" s="2275"/>
      <c r="P82" s="2282">
        <v>0</v>
      </c>
      <c r="Q82" s="2283"/>
      <c r="R82" s="2283"/>
      <c r="S82" s="2283"/>
      <c r="T82" s="2284">
        <f>ROUND(IPMT(($AA$3%+0.35%)/11,1,$D$171-$D$76+1,$P$172-(SUM($P$4:P81)))*-1,2)</f>
        <v>0</v>
      </c>
      <c r="U82" s="2284"/>
      <c r="V82" s="2284"/>
      <c r="W82" s="2284"/>
      <c r="Y82" s="469"/>
      <c r="Z82" s="469"/>
    </row>
    <row r="83" spans="1:26" ht="14.1" customHeight="1">
      <c r="A83" s="2280">
        <v>20</v>
      </c>
      <c r="B83" s="2281"/>
      <c r="C83" s="2281"/>
      <c r="D83" s="2275">
        <f t="shared" si="6"/>
        <v>2020</v>
      </c>
      <c r="E83" s="2275"/>
      <c r="F83" s="2275"/>
      <c r="G83" s="2275"/>
      <c r="H83" s="2275" t="s">
        <v>302</v>
      </c>
      <c r="I83" s="2275"/>
      <c r="J83" s="2275"/>
      <c r="K83" s="2275"/>
      <c r="L83" s="2275"/>
      <c r="M83" s="2275"/>
      <c r="N83" s="2275"/>
      <c r="O83" s="2275"/>
      <c r="P83" s="2282">
        <v>0</v>
      </c>
      <c r="Q83" s="2283"/>
      <c r="R83" s="2283"/>
      <c r="S83" s="2283"/>
      <c r="T83" s="2284">
        <f>ROUND(IPMT(($AA$3%+0.35%)/11,1,$D$171-$D$76+1,$P$172-(SUM($P$4:P82)))*-1,2)</f>
        <v>0</v>
      </c>
      <c r="U83" s="2284"/>
      <c r="V83" s="2284"/>
      <c r="W83" s="2284"/>
      <c r="Y83" s="469"/>
      <c r="Z83" s="469"/>
    </row>
    <row r="84" spans="1:26" ht="14.1" customHeight="1">
      <c r="A84" s="2280">
        <v>21</v>
      </c>
      <c r="B84" s="2281"/>
      <c r="C84" s="2281"/>
      <c r="D84" s="2275">
        <f t="shared" si="6"/>
        <v>2020</v>
      </c>
      <c r="E84" s="2275"/>
      <c r="F84" s="2275"/>
      <c r="G84" s="2275"/>
      <c r="H84" s="2275" t="s">
        <v>303</v>
      </c>
      <c r="I84" s="2275"/>
      <c r="J84" s="2275"/>
      <c r="K84" s="2275"/>
      <c r="L84" s="2275"/>
      <c r="M84" s="2275"/>
      <c r="N84" s="2275"/>
      <c r="O84" s="2275"/>
      <c r="P84" s="2282">
        <v>0</v>
      </c>
      <c r="Q84" s="2283"/>
      <c r="R84" s="2283"/>
      <c r="S84" s="2283"/>
      <c r="T84" s="2284">
        <f>ROUND(IPMT(($AA$3%+0.35%)/11,1,$D$171-$D$76+1,$P$172-(SUM($P$4:P83)))*-1,2)</f>
        <v>0</v>
      </c>
      <c r="U84" s="2284"/>
      <c r="V84" s="2284"/>
      <c r="W84" s="2284"/>
      <c r="Y84" s="469"/>
      <c r="Z84" s="469"/>
    </row>
    <row r="85" spans="1:26" ht="14.1" customHeight="1">
      <c r="A85" s="2280">
        <v>22</v>
      </c>
      <c r="B85" s="2281"/>
      <c r="C85" s="2281"/>
      <c r="D85" s="2275">
        <f t="shared" si="6"/>
        <v>2020</v>
      </c>
      <c r="E85" s="2275"/>
      <c r="F85" s="2275"/>
      <c r="G85" s="2275"/>
      <c r="H85" s="2275" t="s">
        <v>304</v>
      </c>
      <c r="I85" s="2275"/>
      <c r="J85" s="2275"/>
      <c r="K85" s="2275"/>
      <c r="L85" s="2275"/>
      <c r="M85" s="2275"/>
      <c r="N85" s="2275"/>
      <c r="O85" s="2275"/>
      <c r="P85" s="2282">
        <v>0</v>
      </c>
      <c r="Q85" s="2283"/>
      <c r="R85" s="2283"/>
      <c r="S85" s="2283"/>
      <c r="T85" s="2284">
        <f>ROUND(IPMT(($AA$3%+0.35%)/11,1,$D$171-$D$76+1,$P$172-(SUM($P$4:P84)))*-1,2)</f>
        <v>0</v>
      </c>
      <c r="U85" s="2284"/>
      <c r="V85" s="2284"/>
      <c r="W85" s="2284"/>
      <c r="Y85" s="469"/>
      <c r="Z85" s="469"/>
    </row>
    <row r="86" spans="1:26" s="475" customFormat="1" ht="14.1" customHeight="1">
      <c r="A86" s="2311">
        <v>23</v>
      </c>
      <c r="B86" s="2312"/>
      <c r="C86" s="2312"/>
      <c r="D86" s="2313">
        <f t="shared" si="6"/>
        <v>2020</v>
      </c>
      <c r="E86" s="2313"/>
      <c r="F86" s="2313"/>
      <c r="G86" s="2313"/>
      <c r="H86" s="2313" t="s">
        <v>305</v>
      </c>
      <c r="I86" s="2313"/>
      <c r="J86" s="2313"/>
      <c r="K86" s="2313"/>
      <c r="L86" s="2313"/>
      <c r="M86" s="2313"/>
      <c r="N86" s="2313"/>
      <c r="O86" s="2313"/>
      <c r="P86" s="2314">
        <f>'HSZ do groszy'!W29</f>
        <v>0</v>
      </c>
      <c r="Q86" s="2315"/>
      <c r="R86" s="2315"/>
      <c r="S86" s="2315"/>
      <c r="T86" s="2316">
        <f>ROUND(IPMT(($AA$3%+0.35%)/11,1,$D$171-$D$76+1,$P$172-(SUM($P$4:P85)))*-1,2)</f>
        <v>0</v>
      </c>
      <c r="U86" s="2316"/>
      <c r="V86" s="2316"/>
      <c r="W86" s="2316"/>
      <c r="Y86" s="476"/>
      <c r="Z86" s="476"/>
    </row>
    <row r="87" spans="1:26" ht="14.1" customHeight="1">
      <c r="A87" s="2280">
        <v>24</v>
      </c>
      <c r="B87" s="2281"/>
      <c r="C87" s="2281"/>
      <c r="D87" s="2275">
        <f t="shared" si="6"/>
        <v>2020</v>
      </c>
      <c r="E87" s="2275"/>
      <c r="F87" s="2275"/>
      <c r="G87" s="2275"/>
      <c r="H87" s="2275" t="s">
        <v>306</v>
      </c>
      <c r="I87" s="2275"/>
      <c r="J87" s="2275"/>
      <c r="K87" s="2275"/>
      <c r="L87" s="2275"/>
      <c r="M87" s="2275"/>
      <c r="N87" s="2275"/>
      <c r="O87" s="2275"/>
      <c r="P87" s="2282">
        <v>0</v>
      </c>
      <c r="Q87" s="2283"/>
      <c r="R87" s="2283"/>
      <c r="S87" s="2283"/>
      <c r="T87" s="2284">
        <f>ROUND(IPMT(($AA$3%+0.35%)/11,1,$D$171-$D$76+1,$P$172-(SUM($P$4:P86)))*-1,2)</f>
        <v>0</v>
      </c>
      <c r="U87" s="2284"/>
      <c r="V87" s="2284"/>
      <c r="W87" s="2284"/>
      <c r="Y87" s="472">
        <f>SUM(T76:W87)</f>
        <v>0</v>
      </c>
    </row>
    <row r="88" spans="1:26" ht="14.1" customHeight="1">
      <c r="A88" s="2280">
        <v>13</v>
      </c>
      <c r="B88" s="2281"/>
      <c r="C88" s="2281"/>
      <c r="D88" s="2275">
        <f>D76+1</f>
        <v>2021</v>
      </c>
      <c r="E88" s="2275"/>
      <c r="F88" s="2275"/>
      <c r="G88" s="2275"/>
      <c r="H88" s="2275" t="s">
        <v>295</v>
      </c>
      <c r="I88" s="2275"/>
      <c r="J88" s="2275"/>
      <c r="K88" s="2275"/>
      <c r="L88" s="2275"/>
      <c r="M88" s="2275"/>
      <c r="N88" s="2275"/>
      <c r="O88" s="2275"/>
      <c r="P88" s="2282">
        <v>0</v>
      </c>
      <c r="Q88" s="2283"/>
      <c r="R88" s="2283"/>
      <c r="S88" s="2283"/>
      <c r="T88" s="2284">
        <f>ROUND(IPMT(($AA$3%+0.35%)/11,1,$D$171-$D$76+1,$P$172-(SUM($P$4:P87)))*-1,2)</f>
        <v>0</v>
      </c>
      <c r="U88" s="2284"/>
      <c r="V88" s="2284"/>
      <c r="W88" s="2284"/>
      <c r="Y88" s="469"/>
      <c r="Z88" s="469"/>
    </row>
    <row r="89" spans="1:26" ht="14.1" customHeight="1">
      <c r="A89" s="2280">
        <v>14</v>
      </c>
      <c r="B89" s="2281"/>
      <c r="C89" s="2281"/>
      <c r="D89" s="2275">
        <f>$D$88</f>
        <v>2021</v>
      </c>
      <c r="E89" s="2275"/>
      <c r="F89" s="2275"/>
      <c r="G89" s="2275"/>
      <c r="H89" s="2275" t="s">
        <v>296</v>
      </c>
      <c r="I89" s="2275"/>
      <c r="J89" s="2275"/>
      <c r="K89" s="2275"/>
      <c r="L89" s="2275"/>
      <c r="M89" s="2275"/>
      <c r="N89" s="2275"/>
      <c r="O89" s="2275"/>
      <c r="P89" s="2282">
        <v>0</v>
      </c>
      <c r="Q89" s="2283"/>
      <c r="R89" s="2283"/>
      <c r="S89" s="2283"/>
      <c r="T89" s="2284">
        <f>ROUND(IPMT(($AA$3%+0.35%)/11,1,$D$171-$D$88+1,$P$172-(SUM($P$4:P88)))*-1,2)</f>
        <v>0</v>
      </c>
      <c r="U89" s="2284"/>
      <c r="V89" s="2284"/>
      <c r="W89" s="2284"/>
      <c r="Y89" s="469"/>
      <c r="Z89" s="469"/>
    </row>
    <row r="90" spans="1:26" ht="14.1" customHeight="1">
      <c r="A90" s="2280">
        <v>15</v>
      </c>
      <c r="B90" s="2281"/>
      <c r="C90" s="2281"/>
      <c r="D90" s="2275">
        <f t="shared" ref="D90:D99" si="7">$D$88</f>
        <v>2021</v>
      </c>
      <c r="E90" s="2275"/>
      <c r="F90" s="2275"/>
      <c r="G90" s="2275"/>
      <c r="H90" s="2275" t="s">
        <v>297</v>
      </c>
      <c r="I90" s="2275"/>
      <c r="J90" s="2275"/>
      <c r="K90" s="2275"/>
      <c r="L90" s="2275"/>
      <c r="M90" s="2275"/>
      <c r="N90" s="2275"/>
      <c r="O90" s="2275"/>
      <c r="P90" s="2282">
        <v>0</v>
      </c>
      <c r="Q90" s="2283"/>
      <c r="R90" s="2283"/>
      <c r="S90" s="2283"/>
      <c r="T90" s="2284">
        <f>ROUND(IPMT(($AA$3%+0.35%)/11,1,$D$171-$D$88+1,$P$172-(SUM($P$4:P89)))*-1,2)</f>
        <v>0</v>
      </c>
      <c r="U90" s="2284"/>
      <c r="V90" s="2284"/>
      <c r="W90" s="2284"/>
      <c r="Y90" s="469"/>
      <c r="Z90" s="469"/>
    </row>
    <row r="91" spans="1:26" ht="14.1" customHeight="1">
      <c r="A91" s="2280">
        <v>16</v>
      </c>
      <c r="B91" s="2281"/>
      <c r="C91" s="2281"/>
      <c r="D91" s="2275">
        <f t="shared" si="7"/>
        <v>2021</v>
      </c>
      <c r="E91" s="2275"/>
      <c r="F91" s="2275"/>
      <c r="G91" s="2275"/>
      <c r="H91" s="2275" t="s">
        <v>298</v>
      </c>
      <c r="I91" s="2275"/>
      <c r="J91" s="2275"/>
      <c r="K91" s="2275"/>
      <c r="L91" s="2275"/>
      <c r="M91" s="2275"/>
      <c r="N91" s="2275"/>
      <c r="O91" s="2275"/>
      <c r="P91" s="2282">
        <v>0</v>
      </c>
      <c r="Q91" s="2283"/>
      <c r="R91" s="2283"/>
      <c r="S91" s="2283"/>
      <c r="T91" s="2284">
        <f>ROUND(IPMT(($AA$3%+0.35%)/11,1,$D$171-$D$88+1,$P$172-(SUM($P$4:P90)))*-1,2)</f>
        <v>0</v>
      </c>
      <c r="U91" s="2284"/>
      <c r="V91" s="2284"/>
      <c r="W91" s="2284"/>
      <c r="Y91" s="469"/>
      <c r="Z91" s="469"/>
    </row>
    <row r="92" spans="1:26" ht="14.1" customHeight="1">
      <c r="A92" s="2280">
        <v>17</v>
      </c>
      <c r="B92" s="2281"/>
      <c r="C92" s="2281"/>
      <c r="D92" s="2275">
        <f t="shared" si="7"/>
        <v>2021</v>
      </c>
      <c r="E92" s="2275"/>
      <c r="F92" s="2275"/>
      <c r="G92" s="2275"/>
      <c r="H92" s="2275" t="s">
        <v>299</v>
      </c>
      <c r="I92" s="2275"/>
      <c r="J92" s="2275"/>
      <c r="K92" s="2275"/>
      <c r="L92" s="2275"/>
      <c r="M92" s="2275"/>
      <c r="N92" s="2275"/>
      <c r="O92" s="2275"/>
      <c r="P92" s="2282">
        <v>0</v>
      </c>
      <c r="Q92" s="2283"/>
      <c r="R92" s="2283"/>
      <c r="S92" s="2283"/>
      <c r="T92" s="2284">
        <f>ROUND(IPMT(($AA$3%+0.35%)/11,1,$D$171-$D$88+1,$P$172-(SUM($P$4:P91)))*-1,2)</f>
        <v>0</v>
      </c>
      <c r="U92" s="2284"/>
      <c r="V92" s="2284"/>
      <c r="W92" s="2284"/>
      <c r="Y92" s="469"/>
      <c r="Z92" s="469"/>
    </row>
    <row r="93" spans="1:26" ht="14.1" customHeight="1">
      <c r="A93" s="2280">
        <v>18</v>
      </c>
      <c r="B93" s="2281"/>
      <c r="C93" s="2281"/>
      <c r="D93" s="2275">
        <f t="shared" si="7"/>
        <v>2021</v>
      </c>
      <c r="E93" s="2275"/>
      <c r="F93" s="2275"/>
      <c r="G93" s="2275"/>
      <c r="H93" s="2275" t="s">
        <v>300</v>
      </c>
      <c r="I93" s="2275"/>
      <c r="J93" s="2275"/>
      <c r="K93" s="2275"/>
      <c r="L93" s="2275"/>
      <c r="M93" s="2275"/>
      <c r="N93" s="2275"/>
      <c r="O93" s="2275"/>
      <c r="P93" s="2282">
        <v>0</v>
      </c>
      <c r="Q93" s="2283"/>
      <c r="R93" s="2283"/>
      <c r="S93" s="2283"/>
      <c r="T93" s="2284">
        <f>ROUND(IPMT(($AA$3%+0.35%)/11,1,$D$171-$D$88+1,$P$172-(SUM($P$4:P92)))*-1,2)</f>
        <v>0</v>
      </c>
      <c r="U93" s="2284"/>
      <c r="V93" s="2284"/>
      <c r="W93" s="2284"/>
      <c r="Y93" s="469"/>
      <c r="Z93" s="469"/>
    </row>
    <row r="94" spans="1:26" ht="14.1" customHeight="1">
      <c r="A94" s="2280">
        <v>19</v>
      </c>
      <c r="B94" s="2281"/>
      <c r="C94" s="2281"/>
      <c r="D94" s="2275">
        <f t="shared" si="7"/>
        <v>2021</v>
      </c>
      <c r="E94" s="2275"/>
      <c r="F94" s="2275"/>
      <c r="G94" s="2275"/>
      <c r="H94" s="2275" t="s">
        <v>301</v>
      </c>
      <c r="I94" s="2275"/>
      <c r="J94" s="2275"/>
      <c r="K94" s="2275"/>
      <c r="L94" s="2275"/>
      <c r="M94" s="2275"/>
      <c r="N94" s="2275"/>
      <c r="O94" s="2275"/>
      <c r="P94" s="2282">
        <v>0</v>
      </c>
      <c r="Q94" s="2283"/>
      <c r="R94" s="2283"/>
      <c r="S94" s="2283"/>
      <c r="T94" s="2284">
        <f>ROUND(IPMT(($AA$3%+0.35%)/11,1,$D$171-$D$88+1,$P$172-(SUM($P$4:P93)))*-1,2)</f>
        <v>0</v>
      </c>
      <c r="U94" s="2284"/>
      <c r="V94" s="2284"/>
      <c r="W94" s="2284"/>
      <c r="Y94" s="469"/>
      <c r="Z94" s="469"/>
    </row>
    <row r="95" spans="1:26" ht="14.1" customHeight="1">
      <c r="A95" s="2280">
        <v>20</v>
      </c>
      <c r="B95" s="2281"/>
      <c r="C95" s="2281"/>
      <c r="D95" s="2275">
        <f t="shared" si="7"/>
        <v>2021</v>
      </c>
      <c r="E95" s="2275"/>
      <c r="F95" s="2275"/>
      <c r="G95" s="2275"/>
      <c r="H95" s="2275" t="s">
        <v>302</v>
      </c>
      <c r="I95" s="2275"/>
      <c r="J95" s="2275"/>
      <c r="K95" s="2275"/>
      <c r="L95" s="2275"/>
      <c r="M95" s="2275"/>
      <c r="N95" s="2275"/>
      <c r="O95" s="2275"/>
      <c r="P95" s="2282">
        <v>0</v>
      </c>
      <c r="Q95" s="2283"/>
      <c r="R95" s="2283"/>
      <c r="S95" s="2283"/>
      <c r="T95" s="2284">
        <f>ROUND(IPMT(($AA$3%+0.35%)/11,1,$D$171-$D$88+1,$P$172-(SUM($P$4:P94)))*-1,2)</f>
        <v>0</v>
      </c>
      <c r="U95" s="2284"/>
      <c r="V95" s="2284"/>
      <c r="W95" s="2284"/>
      <c r="Y95" s="469"/>
      <c r="Z95" s="469"/>
    </row>
    <row r="96" spans="1:26" ht="14.1" customHeight="1">
      <c r="A96" s="2280">
        <v>21</v>
      </c>
      <c r="B96" s="2281"/>
      <c r="C96" s="2281"/>
      <c r="D96" s="2275">
        <f t="shared" si="7"/>
        <v>2021</v>
      </c>
      <c r="E96" s="2275"/>
      <c r="F96" s="2275"/>
      <c r="G96" s="2275"/>
      <c r="H96" s="2275" t="s">
        <v>303</v>
      </c>
      <c r="I96" s="2275"/>
      <c r="J96" s="2275"/>
      <c r="K96" s="2275"/>
      <c r="L96" s="2275"/>
      <c r="M96" s="2275"/>
      <c r="N96" s="2275"/>
      <c r="O96" s="2275"/>
      <c r="P96" s="2282">
        <v>0</v>
      </c>
      <c r="Q96" s="2283"/>
      <c r="R96" s="2283"/>
      <c r="S96" s="2283"/>
      <c r="T96" s="2284">
        <f>ROUND(IPMT(($AA$3%+0.35%)/11,1,$D$171-$D$88+1,$P$172-(SUM($P$4:P95)))*-1,2)</f>
        <v>0</v>
      </c>
      <c r="U96" s="2284"/>
      <c r="V96" s="2284"/>
      <c r="W96" s="2284"/>
      <c r="Y96" s="469"/>
      <c r="Z96" s="469"/>
    </row>
    <row r="97" spans="1:26" ht="14.1" customHeight="1">
      <c r="A97" s="2280">
        <v>22</v>
      </c>
      <c r="B97" s="2281"/>
      <c r="C97" s="2281"/>
      <c r="D97" s="2275">
        <f t="shared" si="7"/>
        <v>2021</v>
      </c>
      <c r="E97" s="2275"/>
      <c r="F97" s="2275"/>
      <c r="G97" s="2275"/>
      <c r="H97" s="2275" t="s">
        <v>304</v>
      </c>
      <c r="I97" s="2275"/>
      <c r="J97" s="2275"/>
      <c r="K97" s="2275"/>
      <c r="L97" s="2275"/>
      <c r="M97" s="2275"/>
      <c r="N97" s="2275"/>
      <c r="O97" s="2275"/>
      <c r="P97" s="2282">
        <v>0</v>
      </c>
      <c r="Q97" s="2283"/>
      <c r="R97" s="2283"/>
      <c r="S97" s="2283"/>
      <c r="T97" s="2284">
        <f>ROUND(IPMT(($AA$3%+0.35%)/11,1,$D$171-$D$88+1,$P$172-(SUM($P$4:P96)))*-1,2)</f>
        <v>0</v>
      </c>
      <c r="U97" s="2284"/>
      <c r="V97" s="2284"/>
      <c r="W97" s="2284"/>
      <c r="Y97" s="469"/>
      <c r="Z97" s="469"/>
    </row>
    <row r="98" spans="1:26" s="475" customFormat="1" ht="14.1" customHeight="1">
      <c r="A98" s="2311">
        <v>23</v>
      </c>
      <c r="B98" s="2312"/>
      <c r="C98" s="2312"/>
      <c r="D98" s="2313">
        <f t="shared" si="7"/>
        <v>2021</v>
      </c>
      <c r="E98" s="2313"/>
      <c r="F98" s="2313"/>
      <c r="G98" s="2313"/>
      <c r="H98" s="2313" t="s">
        <v>305</v>
      </c>
      <c r="I98" s="2313"/>
      <c r="J98" s="2313"/>
      <c r="K98" s="2313"/>
      <c r="L98" s="2313"/>
      <c r="M98" s="2313"/>
      <c r="N98" s="2313"/>
      <c r="O98" s="2313"/>
      <c r="P98" s="2314">
        <f>'HSZ do groszy'!Y29</f>
        <v>0</v>
      </c>
      <c r="Q98" s="2315"/>
      <c r="R98" s="2315"/>
      <c r="S98" s="2315"/>
      <c r="T98" s="2316">
        <f>ROUND(IPMT(($AA$3%+0.35%)/11,1,$D$171-$D$88+1,$P$172-(SUM($P$4:P97)))*-1,2)</f>
        <v>0</v>
      </c>
      <c r="U98" s="2316"/>
      <c r="V98" s="2316"/>
      <c r="W98" s="2316"/>
      <c r="Y98" s="476"/>
      <c r="Z98" s="476"/>
    </row>
    <row r="99" spans="1:26" ht="14.1" customHeight="1">
      <c r="A99" s="2280">
        <v>24</v>
      </c>
      <c r="B99" s="2281"/>
      <c r="C99" s="2281"/>
      <c r="D99" s="2275">
        <f t="shared" si="7"/>
        <v>2021</v>
      </c>
      <c r="E99" s="2275"/>
      <c r="F99" s="2275"/>
      <c r="G99" s="2275"/>
      <c r="H99" s="2275" t="s">
        <v>306</v>
      </c>
      <c r="I99" s="2275"/>
      <c r="J99" s="2275"/>
      <c r="K99" s="2275"/>
      <c r="L99" s="2275"/>
      <c r="M99" s="2275"/>
      <c r="N99" s="2275"/>
      <c r="O99" s="2275"/>
      <c r="P99" s="2282">
        <v>0</v>
      </c>
      <c r="Q99" s="2283"/>
      <c r="R99" s="2283"/>
      <c r="S99" s="2283"/>
      <c r="T99" s="2284">
        <f>ROUND(IPMT(($AA$3%+0.35%)/11,1,$D$171-$D$88+1,$P$172-(SUM($P$4:P98)))*-1,2)</f>
        <v>0</v>
      </c>
      <c r="U99" s="2284"/>
      <c r="V99" s="2284"/>
      <c r="W99" s="2284"/>
      <c r="Y99" s="472">
        <f>SUM(T88:W99)</f>
        <v>0</v>
      </c>
    </row>
    <row r="100" spans="1:26" ht="14.1" customHeight="1">
      <c r="A100" s="2280">
        <v>61</v>
      </c>
      <c r="B100" s="2281"/>
      <c r="C100" s="2281"/>
      <c r="D100" s="2275">
        <f>D99+1</f>
        <v>2022</v>
      </c>
      <c r="E100" s="2275"/>
      <c r="F100" s="2275"/>
      <c r="G100" s="2275"/>
      <c r="H100" s="2275" t="s">
        <v>295</v>
      </c>
      <c r="I100" s="2275"/>
      <c r="J100" s="2275"/>
      <c r="K100" s="2275"/>
      <c r="L100" s="2275"/>
      <c r="M100" s="2275"/>
      <c r="N100" s="2275"/>
      <c r="O100" s="2275"/>
      <c r="P100" s="2282">
        <v>0</v>
      </c>
      <c r="Q100" s="2283"/>
      <c r="R100" s="2283"/>
      <c r="S100" s="2283"/>
      <c r="T100" s="2284">
        <f>ROUND(IPMT(($AA$3%+0.35%)/11,1,$D$171-$D$88+1,$P$172-(SUM($P$4:P99)))*-1,2)</f>
        <v>0</v>
      </c>
      <c r="U100" s="2284"/>
      <c r="V100" s="2284"/>
      <c r="W100" s="2284"/>
      <c r="Y100" s="471"/>
      <c r="Z100" s="469"/>
    </row>
    <row r="101" spans="1:26" ht="14.1" customHeight="1">
      <c r="A101" s="2280">
        <v>62</v>
      </c>
      <c r="B101" s="2281"/>
      <c r="C101" s="2281"/>
      <c r="D101" s="2275">
        <f>$D$100</f>
        <v>2022</v>
      </c>
      <c r="E101" s="2275"/>
      <c r="F101" s="2275"/>
      <c r="G101" s="2275"/>
      <c r="H101" s="2275" t="s">
        <v>296</v>
      </c>
      <c r="I101" s="2275"/>
      <c r="J101" s="2275"/>
      <c r="K101" s="2275"/>
      <c r="L101" s="2275"/>
      <c r="M101" s="2275"/>
      <c r="N101" s="2275"/>
      <c r="O101" s="2275"/>
      <c r="P101" s="2282">
        <v>0</v>
      </c>
      <c r="Q101" s="2283"/>
      <c r="R101" s="2283"/>
      <c r="S101" s="2283"/>
      <c r="T101" s="2284">
        <f>ROUND(IPMT(($AA$3%+0.35%)/11,1,$D$171-$D$160+1,$P$172-(SUM($P$4:P100)))*-1,2)</f>
        <v>0</v>
      </c>
      <c r="U101" s="2284"/>
      <c r="V101" s="2284"/>
      <c r="W101" s="2284"/>
      <c r="Y101" s="471"/>
      <c r="Z101" s="469"/>
    </row>
    <row r="102" spans="1:26" ht="14.1" customHeight="1">
      <c r="A102" s="2280">
        <v>63</v>
      </c>
      <c r="B102" s="2281"/>
      <c r="C102" s="2281"/>
      <c r="D102" s="2275">
        <f t="shared" ref="D102:D111" si="8">$D$100</f>
        <v>2022</v>
      </c>
      <c r="E102" s="2275"/>
      <c r="F102" s="2275"/>
      <c r="G102" s="2275"/>
      <c r="H102" s="2275" t="s">
        <v>297</v>
      </c>
      <c r="I102" s="2275"/>
      <c r="J102" s="2275"/>
      <c r="K102" s="2275"/>
      <c r="L102" s="2275"/>
      <c r="M102" s="2275"/>
      <c r="N102" s="2275"/>
      <c r="O102" s="2275"/>
      <c r="P102" s="2282">
        <v>0</v>
      </c>
      <c r="Q102" s="2283"/>
      <c r="R102" s="2283"/>
      <c r="S102" s="2283"/>
      <c r="T102" s="2284">
        <f>ROUND(IPMT(($AA$3%+0.35%)/11,1,$D$171-$D$160+1,$P$172-(SUM($P$4:P101)))*-1,2)</f>
        <v>0</v>
      </c>
      <c r="U102" s="2284"/>
      <c r="V102" s="2284"/>
      <c r="W102" s="2284"/>
      <c r="Y102" s="471"/>
      <c r="Z102" s="469"/>
    </row>
    <row r="103" spans="1:26" ht="14.1" customHeight="1">
      <c r="A103" s="2280">
        <v>64</v>
      </c>
      <c r="B103" s="2281"/>
      <c r="C103" s="2281"/>
      <c r="D103" s="2275">
        <f t="shared" si="8"/>
        <v>2022</v>
      </c>
      <c r="E103" s="2275"/>
      <c r="F103" s="2275"/>
      <c r="G103" s="2275"/>
      <c r="H103" s="2275" t="s">
        <v>298</v>
      </c>
      <c r="I103" s="2275"/>
      <c r="J103" s="2275"/>
      <c r="K103" s="2275"/>
      <c r="L103" s="2275"/>
      <c r="M103" s="2275"/>
      <c r="N103" s="2275"/>
      <c r="O103" s="2275"/>
      <c r="P103" s="2282">
        <v>0</v>
      </c>
      <c r="Q103" s="2283"/>
      <c r="R103" s="2283"/>
      <c r="S103" s="2283"/>
      <c r="T103" s="2284">
        <f>ROUND(IPMT(($AA$3%+0.35%)/11,1,$D$171-$D$160+1,$P$172-(SUM($P$4:P102)))*-1,2)</f>
        <v>0</v>
      </c>
      <c r="U103" s="2284"/>
      <c r="V103" s="2284"/>
      <c r="W103" s="2284"/>
      <c r="Y103" s="471"/>
      <c r="Z103" s="469"/>
    </row>
    <row r="104" spans="1:26" ht="14.1" customHeight="1">
      <c r="A104" s="2280">
        <v>65</v>
      </c>
      <c r="B104" s="2281"/>
      <c r="C104" s="2281"/>
      <c r="D104" s="2275">
        <f t="shared" si="8"/>
        <v>2022</v>
      </c>
      <c r="E104" s="2275"/>
      <c r="F104" s="2275"/>
      <c r="G104" s="2275"/>
      <c r="H104" s="2275" t="s">
        <v>299</v>
      </c>
      <c r="I104" s="2275"/>
      <c r="J104" s="2275"/>
      <c r="K104" s="2275"/>
      <c r="L104" s="2275"/>
      <c r="M104" s="2275"/>
      <c r="N104" s="2275"/>
      <c r="O104" s="2275"/>
      <c r="P104" s="2282">
        <v>0</v>
      </c>
      <c r="Q104" s="2283"/>
      <c r="R104" s="2283"/>
      <c r="S104" s="2283"/>
      <c r="T104" s="2284">
        <f>ROUND(IPMT(($AA$3%+0.35%)/11,1,$D$171-$D$160+1,$P$172-(SUM($P$4:P103)))*-1,2)</f>
        <v>0</v>
      </c>
      <c r="U104" s="2284"/>
      <c r="V104" s="2284"/>
      <c r="W104" s="2284"/>
      <c r="Y104" s="471"/>
      <c r="Z104" s="469"/>
    </row>
    <row r="105" spans="1:26" ht="14.1" customHeight="1">
      <c r="A105" s="2280">
        <v>66</v>
      </c>
      <c r="B105" s="2281"/>
      <c r="C105" s="2281"/>
      <c r="D105" s="2275">
        <f t="shared" si="8"/>
        <v>2022</v>
      </c>
      <c r="E105" s="2275"/>
      <c r="F105" s="2275"/>
      <c r="G105" s="2275"/>
      <c r="H105" s="2275" t="s">
        <v>300</v>
      </c>
      <c r="I105" s="2275"/>
      <c r="J105" s="2275"/>
      <c r="K105" s="2275"/>
      <c r="L105" s="2275"/>
      <c r="M105" s="2275"/>
      <c r="N105" s="2275"/>
      <c r="O105" s="2275"/>
      <c r="P105" s="2282">
        <v>0</v>
      </c>
      <c r="Q105" s="2283"/>
      <c r="R105" s="2283"/>
      <c r="S105" s="2283"/>
      <c r="T105" s="2284">
        <f>ROUND(IPMT(($AA$3%+0.35%)/11,1,$D$171-$D$160+1,$P$172-(SUM($P$4:P104)))*-1,2)</f>
        <v>0</v>
      </c>
      <c r="U105" s="2284"/>
      <c r="V105" s="2284"/>
      <c r="W105" s="2284"/>
      <c r="Y105" s="471"/>
      <c r="Z105" s="469"/>
    </row>
    <row r="106" spans="1:26" ht="14.1" customHeight="1">
      <c r="A106" s="2280">
        <v>67</v>
      </c>
      <c r="B106" s="2281"/>
      <c r="C106" s="2281"/>
      <c r="D106" s="2275">
        <f t="shared" si="8"/>
        <v>2022</v>
      </c>
      <c r="E106" s="2275"/>
      <c r="F106" s="2275"/>
      <c r="G106" s="2275"/>
      <c r="H106" s="2275" t="s">
        <v>301</v>
      </c>
      <c r="I106" s="2275"/>
      <c r="J106" s="2275"/>
      <c r="K106" s="2275"/>
      <c r="L106" s="2275"/>
      <c r="M106" s="2275"/>
      <c r="N106" s="2275"/>
      <c r="O106" s="2275"/>
      <c r="P106" s="2282">
        <v>0</v>
      </c>
      <c r="Q106" s="2283"/>
      <c r="R106" s="2283"/>
      <c r="S106" s="2283"/>
      <c r="T106" s="2284">
        <f>ROUND(IPMT(($AA$3%+0.35%)/11,1,$D$171-$D$160+1,$P$172-(SUM($P$4:P105)))*-1,2)</f>
        <v>0</v>
      </c>
      <c r="U106" s="2284"/>
      <c r="V106" s="2284"/>
      <c r="W106" s="2284"/>
      <c r="Y106" s="471"/>
      <c r="Z106" s="469"/>
    </row>
    <row r="107" spans="1:26" ht="14.1" customHeight="1">
      <c r="A107" s="2280">
        <v>68</v>
      </c>
      <c r="B107" s="2281"/>
      <c r="C107" s="2281"/>
      <c r="D107" s="2275">
        <f t="shared" si="8"/>
        <v>2022</v>
      </c>
      <c r="E107" s="2275"/>
      <c r="F107" s="2275"/>
      <c r="G107" s="2275"/>
      <c r="H107" s="2275" t="s">
        <v>302</v>
      </c>
      <c r="I107" s="2275"/>
      <c r="J107" s="2275"/>
      <c r="K107" s="2275"/>
      <c r="L107" s="2275"/>
      <c r="M107" s="2275"/>
      <c r="N107" s="2275"/>
      <c r="O107" s="2275"/>
      <c r="P107" s="2282">
        <v>0</v>
      </c>
      <c r="Q107" s="2283"/>
      <c r="R107" s="2283"/>
      <c r="S107" s="2283"/>
      <c r="T107" s="2284">
        <f>ROUND(IPMT(($AA$3%+0.35%)/11,1,$D$171-$D$160+1,$P$172-(SUM($P$4:P106)))*-1,2)</f>
        <v>0</v>
      </c>
      <c r="U107" s="2284"/>
      <c r="V107" s="2284"/>
      <c r="W107" s="2284"/>
      <c r="Y107" s="471"/>
      <c r="Z107" s="469"/>
    </row>
    <row r="108" spans="1:26" ht="14.1" customHeight="1">
      <c r="A108" s="2280">
        <v>69</v>
      </c>
      <c r="B108" s="2281"/>
      <c r="C108" s="2281"/>
      <c r="D108" s="2275">
        <f t="shared" si="8"/>
        <v>2022</v>
      </c>
      <c r="E108" s="2275"/>
      <c r="F108" s="2275"/>
      <c r="G108" s="2275"/>
      <c r="H108" s="2275" t="s">
        <v>303</v>
      </c>
      <c r="I108" s="2275"/>
      <c r="J108" s="2275"/>
      <c r="K108" s="2275"/>
      <c r="L108" s="2275"/>
      <c r="M108" s="2275"/>
      <c r="N108" s="2275"/>
      <c r="O108" s="2275"/>
      <c r="P108" s="2282">
        <v>0</v>
      </c>
      <c r="Q108" s="2283"/>
      <c r="R108" s="2283"/>
      <c r="S108" s="2283"/>
      <c r="T108" s="2284">
        <f>ROUND(IPMT(($AA$3%+0.35%)/11,1,$D$171-$D$160+1,$P$172-(SUM($P$4:P107)))*-1,2)</f>
        <v>0</v>
      </c>
      <c r="U108" s="2284"/>
      <c r="V108" s="2284"/>
      <c r="W108" s="2284"/>
      <c r="Y108" s="471"/>
      <c r="Z108" s="469"/>
    </row>
    <row r="109" spans="1:26" ht="14.1" customHeight="1">
      <c r="A109" s="2280">
        <v>70</v>
      </c>
      <c r="B109" s="2281"/>
      <c r="C109" s="2281"/>
      <c r="D109" s="2275">
        <f t="shared" si="8"/>
        <v>2022</v>
      </c>
      <c r="E109" s="2275"/>
      <c r="F109" s="2275"/>
      <c r="G109" s="2275"/>
      <c r="H109" s="2275" t="s">
        <v>304</v>
      </c>
      <c r="I109" s="2275"/>
      <c r="J109" s="2275"/>
      <c r="K109" s="2275"/>
      <c r="L109" s="2275"/>
      <c r="M109" s="2275"/>
      <c r="N109" s="2275"/>
      <c r="O109" s="2275"/>
      <c r="P109" s="2282">
        <v>0</v>
      </c>
      <c r="Q109" s="2283"/>
      <c r="R109" s="2283"/>
      <c r="S109" s="2283"/>
      <c r="T109" s="2284">
        <f>ROUND(IPMT(($AA$3%+0.35%)/11,1,$D$171-$D$160+1,$P$172-(SUM($P$4:P108)))*-1,2)</f>
        <v>0</v>
      </c>
      <c r="U109" s="2284"/>
      <c r="V109" s="2284"/>
      <c r="W109" s="2284"/>
      <c r="Y109" s="471"/>
      <c r="Z109" s="469"/>
    </row>
    <row r="110" spans="1:26" s="475" customFormat="1" ht="14.1" customHeight="1">
      <c r="A110" s="2311">
        <v>71</v>
      </c>
      <c r="B110" s="2312"/>
      <c r="C110" s="2312"/>
      <c r="D110" s="2313">
        <f t="shared" si="8"/>
        <v>2022</v>
      </c>
      <c r="E110" s="2313"/>
      <c r="F110" s="2313"/>
      <c r="G110" s="2313"/>
      <c r="H110" s="2313" t="s">
        <v>305</v>
      </c>
      <c r="I110" s="2313"/>
      <c r="J110" s="2313"/>
      <c r="K110" s="2313"/>
      <c r="L110" s="2313"/>
      <c r="M110" s="2313"/>
      <c r="N110" s="2313"/>
      <c r="O110" s="2313"/>
      <c r="P110" s="2314">
        <f>'HSZ do groszy'!AA29</f>
        <v>0</v>
      </c>
      <c r="Q110" s="2315"/>
      <c r="R110" s="2315"/>
      <c r="S110" s="2315"/>
      <c r="T110" s="2316">
        <f>ROUND(IPMT(($AA$3%+0.35%)/11,1,$D$171-$D$160+1,$P$172-(SUM($P$4:P109)))*-1,2)</f>
        <v>0</v>
      </c>
      <c r="U110" s="2316"/>
      <c r="V110" s="2316"/>
      <c r="W110" s="2316"/>
      <c r="Y110" s="477"/>
      <c r="Z110" s="476"/>
    </row>
    <row r="111" spans="1:26" ht="14.1" customHeight="1">
      <c r="A111" s="2273">
        <v>72</v>
      </c>
      <c r="B111" s="2274"/>
      <c r="C111" s="2274"/>
      <c r="D111" s="2275">
        <f t="shared" si="8"/>
        <v>2022</v>
      </c>
      <c r="E111" s="2275"/>
      <c r="F111" s="2275"/>
      <c r="G111" s="2275"/>
      <c r="H111" s="2276" t="s">
        <v>306</v>
      </c>
      <c r="I111" s="2276"/>
      <c r="J111" s="2276"/>
      <c r="K111" s="2276"/>
      <c r="L111" s="2276"/>
      <c r="M111" s="2276"/>
      <c r="N111" s="2276"/>
      <c r="O111" s="2276"/>
      <c r="P111" s="2277">
        <v>0</v>
      </c>
      <c r="Q111" s="2278"/>
      <c r="R111" s="2278"/>
      <c r="S111" s="2278"/>
      <c r="T111" s="2279">
        <f>ROUND(IPMT(($AA$3%+0.35%)/11,1,$D$171-$D$160+1,$P$172-(SUM($P$4:P110)))*-1,2)</f>
        <v>0</v>
      </c>
      <c r="U111" s="2279"/>
      <c r="V111" s="2279"/>
      <c r="W111" s="2279"/>
      <c r="Y111" s="472">
        <f>SUM(T100:W111)</f>
        <v>0</v>
      </c>
      <c r="Z111" s="469"/>
    </row>
    <row r="112" spans="1:26" ht="14.1" customHeight="1">
      <c r="A112" s="2280">
        <v>61</v>
      </c>
      <c r="B112" s="2281"/>
      <c r="C112" s="2281"/>
      <c r="D112" s="2275">
        <f>D111+1</f>
        <v>2023</v>
      </c>
      <c r="E112" s="2275"/>
      <c r="F112" s="2275"/>
      <c r="G112" s="2275"/>
      <c r="H112" s="2275" t="s">
        <v>295</v>
      </c>
      <c r="I112" s="2275"/>
      <c r="J112" s="2275"/>
      <c r="K112" s="2275"/>
      <c r="L112" s="2275"/>
      <c r="M112" s="2275"/>
      <c r="N112" s="2275"/>
      <c r="O112" s="2275"/>
      <c r="P112" s="2282">
        <v>0</v>
      </c>
      <c r="Q112" s="2283"/>
      <c r="R112" s="2283"/>
      <c r="S112" s="2283"/>
      <c r="T112" s="2284">
        <f>ROUND(IPMT(($AA$3%+0.35%)/11,1,$D$171-$D$100+1,$P$172-(SUM($P$4:P111)))*-1,2)</f>
        <v>0</v>
      </c>
      <c r="U112" s="2284"/>
      <c r="V112" s="2284"/>
      <c r="W112" s="2284"/>
      <c r="Y112" s="471"/>
      <c r="Z112" s="469"/>
    </row>
    <row r="113" spans="1:26" ht="14.1" customHeight="1">
      <c r="A113" s="2280">
        <v>62</v>
      </c>
      <c r="B113" s="2281"/>
      <c r="C113" s="2281"/>
      <c r="D113" s="2275">
        <f>$D$112</f>
        <v>2023</v>
      </c>
      <c r="E113" s="2275"/>
      <c r="F113" s="2275"/>
      <c r="G113" s="2275"/>
      <c r="H113" s="2275" t="s">
        <v>296</v>
      </c>
      <c r="I113" s="2275"/>
      <c r="J113" s="2275"/>
      <c r="K113" s="2275"/>
      <c r="L113" s="2275"/>
      <c r="M113" s="2275"/>
      <c r="N113" s="2275"/>
      <c r="O113" s="2275"/>
      <c r="P113" s="2282">
        <v>0</v>
      </c>
      <c r="Q113" s="2283"/>
      <c r="R113" s="2283"/>
      <c r="S113" s="2283"/>
      <c r="T113" s="2284">
        <f>ROUND(IPMT(($AA$3%+0.35%)/11,1,$D$171-$D$160+1,$P$172-(SUM($P$4:P112)))*-1,2)</f>
        <v>0</v>
      </c>
      <c r="U113" s="2284"/>
      <c r="V113" s="2284"/>
      <c r="W113" s="2284"/>
      <c r="Y113" s="471"/>
      <c r="Z113" s="469"/>
    </row>
    <row r="114" spans="1:26" ht="14.1" customHeight="1">
      <c r="A114" s="2280">
        <v>63</v>
      </c>
      <c r="B114" s="2281"/>
      <c r="C114" s="2281"/>
      <c r="D114" s="2275">
        <f t="shared" ref="D114:D123" si="9">$D$112</f>
        <v>2023</v>
      </c>
      <c r="E114" s="2275"/>
      <c r="F114" s="2275"/>
      <c r="G114" s="2275"/>
      <c r="H114" s="2275" t="s">
        <v>297</v>
      </c>
      <c r="I114" s="2275"/>
      <c r="J114" s="2275"/>
      <c r="K114" s="2275"/>
      <c r="L114" s="2275"/>
      <c r="M114" s="2275"/>
      <c r="N114" s="2275"/>
      <c r="O114" s="2275"/>
      <c r="P114" s="2282">
        <v>0</v>
      </c>
      <c r="Q114" s="2283"/>
      <c r="R114" s="2283"/>
      <c r="S114" s="2283"/>
      <c r="T114" s="2284">
        <f>ROUND(IPMT(($AA$3%+0.35%)/11,1,$D$171-$D$160+1,$P$172-(SUM($P$4:P113)))*-1,2)</f>
        <v>0</v>
      </c>
      <c r="U114" s="2284"/>
      <c r="V114" s="2284"/>
      <c r="W114" s="2284"/>
      <c r="Y114" s="471"/>
      <c r="Z114" s="469"/>
    </row>
    <row r="115" spans="1:26" ht="14.1" customHeight="1">
      <c r="A115" s="2280">
        <v>64</v>
      </c>
      <c r="B115" s="2281"/>
      <c r="C115" s="2281"/>
      <c r="D115" s="2275">
        <f t="shared" si="9"/>
        <v>2023</v>
      </c>
      <c r="E115" s="2275"/>
      <c r="F115" s="2275"/>
      <c r="G115" s="2275"/>
      <c r="H115" s="2275" t="s">
        <v>298</v>
      </c>
      <c r="I115" s="2275"/>
      <c r="J115" s="2275"/>
      <c r="K115" s="2275"/>
      <c r="L115" s="2275"/>
      <c r="M115" s="2275"/>
      <c r="N115" s="2275"/>
      <c r="O115" s="2275"/>
      <c r="P115" s="2282">
        <v>0</v>
      </c>
      <c r="Q115" s="2283"/>
      <c r="R115" s="2283"/>
      <c r="S115" s="2283"/>
      <c r="T115" s="2284">
        <f>ROUND(IPMT(($AA$3%+0.35%)/11,1,$D$171-$D$160+1,$P$172-(SUM($P$4:P114)))*-1,2)</f>
        <v>0</v>
      </c>
      <c r="U115" s="2284"/>
      <c r="V115" s="2284"/>
      <c r="W115" s="2284"/>
      <c r="Y115" s="471"/>
      <c r="Z115" s="469"/>
    </row>
    <row r="116" spans="1:26" ht="14.1" customHeight="1">
      <c r="A116" s="2280">
        <v>65</v>
      </c>
      <c r="B116" s="2281"/>
      <c r="C116" s="2281"/>
      <c r="D116" s="2275">
        <f t="shared" si="9"/>
        <v>2023</v>
      </c>
      <c r="E116" s="2275"/>
      <c r="F116" s="2275"/>
      <c r="G116" s="2275"/>
      <c r="H116" s="2275" t="s">
        <v>299</v>
      </c>
      <c r="I116" s="2275"/>
      <c r="J116" s="2275"/>
      <c r="K116" s="2275"/>
      <c r="L116" s="2275"/>
      <c r="M116" s="2275"/>
      <c r="N116" s="2275"/>
      <c r="O116" s="2275"/>
      <c r="P116" s="2282">
        <v>0</v>
      </c>
      <c r="Q116" s="2283"/>
      <c r="R116" s="2283"/>
      <c r="S116" s="2283"/>
      <c r="T116" s="2284">
        <f>ROUND(IPMT(($AA$3%+0.35%)/11,1,$D$171-$D$160+1,$P$172-(SUM($P$4:P115)))*-1,2)</f>
        <v>0</v>
      </c>
      <c r="U116" s="2284"/>
      <c r="V116" s="2284"/>
      <c r="W116" s="2284"/>
      <c r="Y116" s="471"/>
      <c r="Z116" s="469"/>
    </row>
    <row r="117" spans="1:26" ht="14.1" customHeight="1">
      <c r="A117" s="2280">
        <v>66</v>
      </c>
      <c r="B117" s="2281"/>
      <c r="C117" s="2281"/>
      <c r="D117" s="2275">
        <f t="shared" si="9"/>
        <v>2023</v>
      </c>
      <c r="E117" s="2275"/>
      <c r="F117" s="2275"/>
      <c r="G117" s="2275"/>
      <c r="H117" s="2275" t="s">
        <v>300</v>
      </c>
      <c r="I117" s="2275"/>
      <c r="J117" s="2275"/>
      <c r="K117" s="2275"/>
      <c r="L117" s="2275"/>
      <c r="M117" s="2275"/>
      <c r="N117" s="2275"/>
      <c r="O117" s="2275"/>
      <c r="P117" s="2282">
        <v>0</v>
      </c>
      <c r="Q117" s="2283"/>
      <c r="R117" s="2283"/>
      <c r="S117" s="2283"/>
      <c r="T117" s="2284">
        <f>ROUND(IPMT(($AA$3%+0.35%)/11,1,$D$171-$D$160+1,$P$172-(SUM($P$4:P116)))*-1,2)</f>
        <v>0</v>
      </c>
      <c r="U117" s="2284"/>
      <c r="V117" s="2284"/>
      <c r="W117" s="2284"/>
      <c r="Y117" s="471"/>
      <c r="Z117" s="469"/>
    </row>
    <row r="118" spans="1:26" ht="14.1" customHeight="1">
      <c r="A118" s="2280">
        <v>67</v>
      </c>
      <c r="B118" s="2281"/>
      <c r="C118" s="2281"/>
      <c r="D118" s="2275">
        <f t="shared" si="9"/>
        <v>2023</v>
      </c>
      <c r="E118" s="2275"/>
      <c r="F118" s="2275"/>
      <c r="G118" s="2275"/>
      <c r="H118" s="2275" t="s">
        <v>301</v>
      </c>
      <c r="I118" s="2275"/>
      <c r="J118" s="2275"/>
      <c r="K118" s="2275"/>
      <c r="L118" s="2275"/>
      <c r="M118" s="2275"/>
      <c r="N118" s="2275"/>
      <c r="O118" s="2275"/>
      <c r="P118" s="2282">
        <v>0</v>
      </c>
      <c r="Q118" s="2283"/>
      <c r="R118" s="2283"/>
      <c r="S118" s="2283"/>
      <c r="T118" s="2284">
        <f>ROUND(IPMT(($AA$3%+0.35%)/11,1,$D$171-$D$160+1,$P$172-(SUM($P$4:P117)))*-1,2)</f>
        <v>0</v>
      </c>
      <c r="U118" s="2284"/>
      <c r="V118" s="2284"/>
      <c r="W118" s="2284"/>
      <c r="Y118" s="471"/>
      <c r="Z118" s="469"/>
    </row>
    <row r="119" spans="1:26" ht="14.1" customHeight="1">
      <c r="A119" s="2280">
        <v>68</v>
      </c>
      <c r="B119" s="2281"/>
      <c r="C119" s="2281"/>
      <c r="D119" s="2275">
        <f t="shared" si="9"/>
        <v>2023</v>
      </c>
      <c r="E119" s="2275"/>
      <c r="F119" s="2275"/>
      <c r="G119" s="2275"/>
      <c r="H119" s="2275" t="s">
        <v>302</v>
      </c>
      <c r="I119" s="2275"/>
      <c r="J119" s="2275"/>
      <c r="K119" s="2275"/>
      <c r="L119" s="2275"/>
      <c r="M119" s="2275"/>
      <c r="N119" s="2275"/>
      <c r="O119" s="2275"/>
      <c r="P119" s="2282">
        <v>0</v>
      </c>
      <c r="Q119" s="2283"/>
      <c r="R119" s="2283"/>
      <c r="S119" s="2283"/>
      <c r="T119" s="2284">
        <f>ROUND(IPMT(($AA$3%+0.35%)/11,1,$D$171-$D$160+1,$P$172-(SUM($P$4:P118)))*-1,2)</f>
        <v>0</v>
      </c>
      <c r="U119" s="2284"/>
      <c r="V119" s="2284"/>
      <c r="W119" s="2284"/>
      <c r="Y119" s="471"/>
      <c r="Z119" s="469"/>
    </row>
    <row r="120" spans="1:26" ht="14.1" customHeight="1">
      <c r="A120" s="2280">
        <v>69</v>
      </c>
      <c r="B120" s="2281"/>
      <c r="C120" s="2281"/>
      <c r="D120" s="2275">
        <f t="shared" si="9"/>
        <v>2023</v>
      </c>
      <c r="E120" s="2275"/>
      <c r="F120" s="2275"/>
      <c r="G120" s="2275"/>
      <c r="H120" s="2275" t="s">
        <v>303</v>
      </c>
      <c r="I120" s="2275"/>
      <c r="J120" s="2275"/>
      <c r="K120" s="2275"/>
      <c r="L120" s="2275"/>
      <c r="M120" s="2275"/>
      <c r="N120" s="2275"/>
      <c r="O120" s="2275"/>
      <c r="P120" s="2282">
        <v>0</v>
      </c>
      <c r="Q120" s="2283"/>
      <c r="R120" s="2283"/>
      <c r="S120" s="2283"/>
      <c r="T120" s="2284">
        <f>ROUND(IPMT(($AA$3%+0.35%)/11,1,$D$171-$D$160+1,$P$172-(SUM($P$4:P119)))*-1,2)</f>
        <v>0</v>
      </c>
      <c r="U120" s="2284"/>
      <c r="V120" s="2284"/>
      <c r="W120" s="2284"/>
      <c r="Y120" s="471"/>
      <c r="Z120" s="469"/>
    </row>
    <row r="121" spans="1:26" ht="14.1" customHeight="1">
      <c r="A121" s="2280">
        <v>70</v>
      </c>
      <c r="B121" s="2281"/>
      <c r="C121" s="2281"/>
      <c r="D121" s="2275">
        <f t="shared" si="9"/>
        <v>2023</v>
      </c>
      <c r="E121" s="2275"/>
      <c r="F121" s="2275"/>
      <c r="G121" s="2275"/>
      <c r="H121" s="2275" t="s">
        <v>304</v>
      </c>
      <c r="I121" s="2275"/>
      <c r="J121" s="2275"/>
      <c r="K121" s="2275"/>
      <c r="L121" s="2275"/>
      <c r="M121" s="2275"/>
      <c r="N121" s="2275"/>
      <c r="O121" s="2275"/>
      <c r="P121" s="2282">
        <v>0</v>
      </c>
      <c r="Q121" s="2283"/>
      <c r="R121" s="2283"/>
      <c r="S121" s="2283"/>
      <c r="T121" s="2284">
        <f>ROUND(IPMT(($AA$3%+0.35%)/11,1,$D$171-$D$160+1,$P$172-(SUM($P$4:P120)))*-1,2)</f>
        <v>0</v>
      </c>
      <c r="U121" s="2284"/>
      <c r="V121" s="2284"/>
      <c r="W121" s="2284"/>
      <c r="Y121" s="471"/>
      <c r="Z121" s="469"/>
    </row>
    <row r="122" spans="1:26" s="475" customFormat="1" ht="14.1" customHeight="1">
      <c r="A122" s="2311">
        <v>71</v>
      </c>
      <c r="B122" s="2312"/>
      <c r="C122" s="2312"/>
      <c r="D122" s="2313">
        <f t="shared" si="9"/>
        <v>2023</v>
      </c>
      <c r="E122" s="2313"/>
      <c r="F122" s="2313"/>
      <c r="G122" s="2313"/>
      <c r="H122" s="2313" t="s">
        <v>305</v>
      </c>
      <c r="I122" s="2313"/>
      <c r="J122" s="2313"/>
      <c r="K122" s="2313"/>
      <c r="L122" s="2313"/>
      <c r="M122" s="2313"/>
      <c r="N122" s="2313"/>
      <c r="O122" s="2313"/>
      <c r="P122" s="2314">
        <f>'HSZ do groszy'!AC29</f>
        <v>0</v>
      </c>
      <c r="Q122" s="2315"/>
      <c r="R122" s="2315"/>
      <c r="S122" s="2315"/>
      <c r="T122" s="2316">
        <f>ROUND(IPMT(($AA$3%+0.35%)/11,1,$D$171-$D$160+1,$P$172-(SUM($P$4:P121)))*-1,2)</f>
        <v>0</v>
      </c>
      <c r="U122" s="2316"/>
      <c r="V122" s="2316"/>
      <c r="W122" s="2316"/>
      <c r="Y122" s="477"/>
      <c r="Z122" s="476"/>
    </row>
    <row r="123" spans="1:26" ht="14.1" customHeight="1">
      <c r="A123" s="2273">
        <v>72</v>
      </c>
      <c r="B123" s="2274"/>
      <c r="C123" s="2274"/>
      <c r="D123" s="2275">
        <f t="shared" si="9"/>
        <v>2023</v>
      </c>
      <c r="E123" s="2275"/>
      <c r="F123" s="2275"/>
      <c r="G123" s="2275"/>
      <c r="H123" s="2276" t="s">
        <v>306</v>
      </c>
      <c r="I123" s="2276"/>
      <c r="J123" s="2276"/>
      <c r="K123" s="2276"/>
      <c r="L123" s="2276"/>
      <c r="M123" s="2276"/>
      <c r="N123" s="2276"/>
      <c r="O123" s="2276"/>
      <c r="P123" s="2277">
        <v>0</v>
      </c>
      <c r="Q123" s="2278"/>
      <c r="R123" s="2278"/>
      <c r="S123" s="2278"/>
      <c r="T123" s="2279">
        <f>ROUND(IPMT(($AA$3%+0.35%)/11,1,$D$171-$D$160+1,$P$172-(SUM($P$4:P122)))*-1,2)</f>
        <v>0</v>
      </c>
      <c r="U123" s="2279"/>
      <c r="V123" s="2279"/>
      <c r="W123" s="2279"/>
      <c r="Y123" s="472">
        <f>SUM(T112:W123)</f>
        <v>0</v>
      </c>
      <c r="Z123" s="469"/>
    </row>
    <row r="124" spans="1:26" ht="14.1" customHeight="1">
      <c r="A124" s="2280">
        <v>61</v>
      </c>
      <c r="B124" s="2281"/>
      <c r="C124" s="2281"/>
      <c r="D124" s="2275">
        <f>D123+1</f>
        <v>2024</v>
      </c>
      <c r="E124" s="2275"/>
      <c r="F124" s="2275"/>
      <c r="G124" s="2275"/>
      <c r="H124" s="2275" t="s">
        <v>295</v>
      </c>
      <c r="I124" s="2275"/>
      <c r="J124" s="2275"/>
      <c r="K124" s="2275"/>
      <c r="L124" s="2275"/>
      <c r="M124" s="2275"/>
      <c r="N124" s="2275"/>
      <c r="O124" s="2275"/>
      <c r="P124" s="2282">
        <v>0</v>
      </c>
      <c r="Q124" s="2283"/>
      <c r="R124" s="2283"/>
      <c r="S124" s="2283"/>
      <c r="T124" s="2284">
        <f>ROUND(IPMT(($AA$3%+0.35%)/11,1,$D$171-$D$112+1,$P$172-(SUM($P$4:P123)))*-1,2)</f>
        <v>0</v>
      </c>
      <c r="U124" s="2284"/>
      <c r="V124" s="2284"/>
      <c r="W124" s="2284"/>
      <c r="Y124" s="471"/>
      <c r="Z124" s="469"/>
    </row>
    <row r="125" spans="1:26" ht="14.1" customHeight="1">
      <c r="A125" s="2280">
        <v>62</v>
      </c>
      <c r="B125" s="2281"/>
      <c r="C125" s="2281"/>
      <c r="D125" s="2275">
        <f>$D$124</f>
        <v>2024</v>
      </c>
      <c r="E125" s="2275"/>
      <c r="F125" s="2275"/>
      <c r="G125" s="2275"/>
      <c r="H125" s="2275" t="s">
        <v>296</v>
      </c>
      <c r="I125" s="2275"/>
      <c r="J125" s="2275"/>
      <c r="K125" s="2275"/>
      <c r="L125" s="2275"/>
      <c r="M125" s="2275"/>
      <c r="N125" s="2275"/>
      <c r="O125" s="2275"/>
      <c r="P125" s="2282">
        <v>0</v>
      </c>
      <c r="Q125" s="2283"/>
      <c r="R125" s="2283"/>
      <c r="S125" s="2283"/>
      <c r="T125" s="2284">
        <f>ROUND(IPMT(($AA$3%+0.35%)/11,1,$D$171-$D$160+1,$P$172-(SUM($P$4:P124)))*-1,2)</f>
        <v>0</v>
      </c>
      <c r="U125" s="2284"/>
      <c r="V125" s="2284"/>
      <c r="W125" s="2284"/>
      <c r="Y125" s="471"/>
      <c r="Z125" s="469"/>
    </row>
    <row r="126" spans="1:26" ht="14.1" customHeight="1">
      <c r="A126" s="2280">
        <v>63</v>
      </c>
      <c r="B126" s="2281"/>
      <c r="C126" s="2281"/>
      <c r="D126" s="2275">
        <f t="shared" ref="D126:D135" si="10">$D$124</f>
        <v>2024</v>
      </c>
      <c r="E126" s="2275"/>
      <c r="F126" s="2275"/>
      <c r="G126" s="2275"/>
      <c r="H126" s="2275" t="s">
        <v>297</v>
      </c>
      <c r="I126" s="2275"/>
      <c r="J126" s="2275"/>
      <c r="K126" s="2275"/>
      <c r="L126" s="2275"/>
      <c r="M126" s="2275"/>
      <c r="N126" s="2275"/>
      <c r="O126" s="2275"/>
      <c r="P126" s="2282">
        <v>0</v>
      </c>
      <c r="Q126" s="2283"/>
      <c r="R126" s="2283"/>
      <c r="S126" s="2283"/>
      <c r="T126" s="2284">
        <f>ROUND(IPMT(($AA$3%+0.35%)/11,1,$D$171-$D$160+1,$P$172-(SUM($P$4:P125)))*-1,2)</f>
        <v>0</v>
      </c>
      <c r="U126" s="2284"/>
      <c r="V126" s="2284"/>
      <c r="W126" s="2284"/>
      <c r="Y126" s="471"/>
      <c r="Z126" s="469"/>
    </row>
    <row r="127" spans="1:26" ht="14.1" customHeight="1">
      <c r="A127" s="2280">
        <v>64</v>
      </c>
      <c r="B127" s="2281"/>
      <c r="C127" s="2281"/>
      <c r="D127" s="2275">
        <f t="shared" si="10"/>
        <v>2024</v>
      </c>
      <c r="E127" s="2275"/>
      <c r="F127" s="2275"/>
      <c r="G127" s="2275"/>
      <c r="H127" s="2275" t="s">
        <v>298</v>
      </c>
      <c r="I127" s="2275"/>
      <c r="J127" s="2275"/>
      <c r="K127" s="2275"/>
      <c r="L127" s="2275"/>
      <c r="M127" s="2275"/>
      <c r="N127" s="2275"/>
      <c r="O127" s="2275"/>
      <c r="P127" s="2282">
        <v>0</v>
      </c>
      <c r="Q127" s="2283"/>
      <c r="R127" s="2283"/>
      <c r="S127" s="2283"/>
      <c r="T127" s="2284">
        <f>ROUND(IPMT(($AA$3%+0.35%)/11,1,$D$171-$D$160+1,$P$172-(SUM($P$4:P126)))*-1,2)</f>
        <v>0</v>
      </c>
      <c r="U127" s="2284"/>
      <c r="V127" s="2284"/>
      <c r="W127" s="2284"/>
      <c r="Y127" s="471"/>
      <c r="Z127" s="469"/>
    </row>
    <row r="128" spans="1:26" ht="14.1" customHeight="1">
      <c r="A128" s="2280">
        <v>65</v>
      </c>
      <c r="B128" s="2281"/>
      <c r="C128" s="2281"/>
      <c r="D128" s="2275">
        <f t="shared" si="10"/>
        <v>2024</v>
      </c>
      <c r="E128" s="2275"/>
      <c r="F128" s="2275"/>
      <c r="G128" s="2275"/>
      <c r="H128" s="2275" t="s">
        <v>299</v>
      </c>
      <c r="I128" s="2275"/>
      <c r="J128" s="2275"/>
      <c r="K128" s="2275"/>
      <c r="L128" s="2275"/>
      <c r="M128" s="2275"/>
      <c r="N128" s="2275"/>
      <c r="O128" s="2275"/>
      <c r="P128" s="2282">
        <v>0</v>
      </c>
      <c r="Q128" s="2283"/>
      <c r="R128" s="2283"/>
      <c r="S128" s="2283"/>
      <c r="T128" s="2284">
        <f>ROUND(IPMT(($AA$3%+0.35%)/11,1,$D$171-$D$160+1,$P$172-(SUM($P$4:P127)))*-1,2)</f>
        <v>0</v>
      </c>
      <c r="U128" s="2284"/>
      <c r="V128" s="2284"/>
      <c r="W128" s="2284"/>
      <c r="Y128" s="471"/>
      <c r="Z128" s="469"/>
    </row>
    <row r="129" spans="1:26" ht="14.1" customHeight="1">
      <c r="A129" s="2280">
        <v>66</v>
      </c>
      <c r="B129" s="2281"/>
      <c r="C129" s="2281"/>
      <c r="D129" s="2275">
        <f t="shared" si="10"/>
        <v>2024</v>
      </c>
      <c r="E129" s="2275"/>
      <c r="F129" s="2275"/>
      <c r="G129" s="2275"/>
      <c r="H129" s="2275" t="s">
        <v>300</v>
      </c>
      <c r="I129" s="2275"/>
      <c r="J129" s="2275"/>
      <c r="K129" s="2275"/>
      <c r="L129" s="2275"/>
      <c r="M129" s="2275"/>
      <c r="N129" s="2275"/>
      <c r="O129" s="2275"/>
      <c r="P129" s="2282">
        <v>0</v>
      </c>
      <c r="Q129" s="2283"/>
      <c r="R129" s="2283"/>
      <c r="S129" s="2283"/>
      <c r="T129" s="2284">
        <f>ROUND(IPMT(($AA$3%+0.35%)/11,1,$D$171-$D$160+1,$P$172-(SUM($P$4:P128)))*-1,2)</f>
        <v>0</v>
      </c>
      <c r="U129" s="2284"/>
      <c r="V129" s="2284"/>
      <c r="W129" s="2284"/>
      <c r="Y129" s="471"/>
      <c r="Z129" s="469"/>
    </row>
    <row r="130" spans="1:26" ht="14.1" customHeight="1">
      <c r="A130" s="2280">
        <v>67</v>
      </c>
      <c r="B130" s="2281"/>
      <c r="C130" s="2281"/>
      <c r="D130" s="2275">
        <f t="shared" si="10"/>
        <v>2024</v>
      </c>
      <c r="E130" s="2275"/>
      <c r="F130" s="2275"/>
      <c r="G130" s="2275"/>
      <c r="H130" s="2275" t="s">
        <v>301</v>
      </c>
      <c r="I130" s="2275"/>
      <c r="J130" s="2275"/>
      <c r="K130" s="2275"/>
      <c r="L130" s="2275"/>
      <c r="M130" s="2275"/>
      <c r="N130" s="2275"/>
      <c r="O130" s="2275"/>
      <c r="P130" s="2282">
        <v>0</v>
      </c>
      <c r="Q130" s="2283"/>
      <c r="R130" s="2283"/>
      <c r="S130" s="2283"/>
      <c r="T130" s="2284">
        <f>ROUND(IPMT(($AA$3%+0.35%)/11,1,$D$171-$D$160+1,$P$172-(SUM($P$4:P129)))*-1,2)</f>
        <v>0</v>
      </c>
      <c r="U130" s="2284"/>
      <c r="V130" s="2284"/>
      <c r="W130" s="2284"/>
      <c r="Y130" s="471"/>
      <c r="Z130" s="469"/>
    </row>
    <row r="131" spans="1:26" ht="14.1" customHeight="1">
      <c r="A131" s="2280">
        <v>68</v>
      </c>
      <c r="B131" s="2281"/>
      <c r="C131" s="2281"/>
      <c r="D131" s="2275">
        <f t="shared" si="10"/>
        <v>2024</v>
      </c>
      <c r="E131" s="2275"/>
      <c r="F131" s="2275"/>
      <c r="G131" s="2275"/>
      <c r="H131" s="2275" t="s">
        <v>302</v>
      </c>
      <c r="I131" s="2275"/>
      <c r="J131" s="2275"/>
      <c r="K131" s="2275"/>
      <c r="L131" s="2275"/>
      <c r="M131" s="2275"/>
      <c r="N131" s="2275"/>
      <c r="O131" s="2275"/>
      <c r="P131" s="2282">
        <v>0</v>
      </c>
      <c r="Q131" s="2283"/>
      <c r="R131" s="2283"/>
      <c r="S131" s="2283"/>
      <c r="T131" s="2284">
        <f>ROUND(IPMT(($AA$3%+0.35%)/11,1,$D$171-$D$160+1,$P$172-(SUM($P$4:P130)))*-1,2)</f>
        <v>0</v>
      </c>
      <c r="U131" s="2284"/>
      <c r="V131" s="2284"/>
      <c r="W131" s="2284"/>
      <c r="Y131" s="471"/>
      <c r="Z131" s="469"/>
    </row>
    <row r="132" spans="1:26" ht="14.1" customHeight="1">
      <c r="A132" s="2280">
        <v>69</v>
      </c>
      <c r="B132" s="2281"/>
      <c r="C132" s="2281"/>
      <c r="D132" s="2275">
        <f t="shared" si="10"/>
        <v>2024</v>
      </c>
      <c r="E132" s="2275"/>
      <c r="F132" s="2275"/>
      <c r="G132" s="2275"/>
      <c r="H132" s="2275" t="s">
        <v>303</v>
      </c>
      <c r="I132" s="2275"/>
      <c r="J132" s="2275"/>
      <c r="K132" s="2275"/>
      <c r="L132" s="2275"/>
      <c r="M132" s="2275"/>
      <c r="N132" s="2275"/>
      <c r="O132" s="2275"/>
      <c r="P132" s="2282">
        <v>0</v>
      </c>
      <c r="Q132" s="2283"/>
      <c r="R132" s="2283"/>
      <c r="S132" s="2283"/>
      <c r="T132" s="2284">
        <f>ROUND(IPMT(($AA$3%+0.35%)/11,1,$D$171-$D$160+1,$P$172-(SUM($P$4:P131)))*-1,2)</f>
        <v>0</v>
      </c>
      <c r="U132" s="2284"/>
      <c r="V132" s="2284"/>
      <c r="W132" s="2284"/>
      <c r="Y132" s="471"/>
      <c r="Z132" s="469"/>
    </row>
    <row r="133" spans="1:26" ht="14.1" customHeight="1">
      <c r="A133" s="2280">
        <v>70</v>
      </c>
      <c r="B133" s="2281"/>
      <c r="C133" s="2281"/>
      <c r="D133" s="2275">
        <f t="shared" si="10"/>
        <v>2024</v>
      </c>
      <c r="E133" s="2275"/>
      <c r="F133" s="2275"/>
      <c r="G133" s="2275"/>
      <c r="H133" s="2275" t="s">
        <v>304</v>
      </c>
      <c r="I133" s="2275"/>
      <c r="J133" s="2275"/>
      <c r="K133" s="2275"/>
      <c r="L133" s="2275"/>
      <c r="M133" s="2275"/>
      <c r="N133" s="2275"/>
      <c r="O133" s="2275"/>
      <c r="P133" s="2282">
        <v>0</v>
      </c>
      <c r="Q133" s="2283"/>
      <c r="R133" s="2283"/>
      <c r="S133" s="2283"/>
      <c r="T133" s="2284">
        <f>ROUND(IPMT(($AA$3%+0.35%)/11,1,$D$171-$D$160+1,$P$172-(SUM($P$4:P132)))*-1,2)</f>
        <v>0</v>
      </c>
      <c r="U133" s="2284"/>
      <c r="V133" s="2284"/>
      <c r="W133" s="2284"/>
      <c r="Y133" s="471"/>
      <c r="Z133" s="469"/>
    </row>
    <row r="134" spans="1:26" s="475" customFormat="1" ht="14.1" customHeight="1">
      <c r="A134" s="2311">
        <v>71</v>
      </c>
      <c r="B134" s="2312"/>
      <c r="C134" s="2312"/>
      <c r="D134" s="2313">
        <f t="shared" si="10"/>
        <v>2024</v>
      </c>
      <c r="E134" s="2313"/>
      <c r="F134" s="2313"/>
      <c r="G134" s="2313"/>
      <c r="H134" s="2313" t="s">
        <v>305</v>
      </c>
      <c r="I134" s="2313"/>
      <c r="J134" s="2313"/>
      <c r="K134" s="2313"/>
      <c r="L134" s="2313"/>
      <c r="M134" s="2313"/>
      <c r="N134" s="2313"/>
      <c r="O134" s="2313"/>
      <c r="P134" s="2314">
        <f>'HSZ do groszy'!AE29</f>
        <v>0</v>
      </c>
      <c r="Q134" s="2315"/>
      <c r="R134" s="2315"/>
      <c r="S134" s="2315"/>
      <c r="T134" s="2316">
        <f>ROUND(IPMT(($AA$3%+0.35%)/11,1,$D$171-$D$160+1,$P$172-(SUM($P$4:P133)))*-1,2)</f>
        <v>0</v>
      </c>
      <c r="U134" s="2316"/>
      <c r="V134" s="2316"/>
      <c r="W134" s="2316"/>
      <c r="Y134" s="477"/>
      <c r="Z134" s="476"/>
    </row>
    <row r="135" spans="1:26" ht="14.1" customHeight="1">
      <c r="A135" s="2273">
        <v>72</v>
      </c>
      <c r="B135" s="2274"/>
      <c r="C135" s="2274"/>
      <c r="D135" s="2275">
        <f t="shared" si="10"/>
        <v>2024</v>
      </c>
      <c r="E135" s="2275"/>
      <c r="F135" s="2275"/>
      <c r="G135" s="2275"/>
      <c r="H135" s="2276" t="s">
        <v>306</v>
      </c>
      <c r="I135" s="2276"/>
      <c r="J135" s="2276"/>
      <c r="K135" s="2276"/>
      <c r="L135" s="2276"/>
      <c r="M135" s="2276"/>
      <c r="N135" s="2276"/>
      <c r="O135" s="2276"/>
      <c r="P135" s="2277">
        <v>0</v>
      </c>
      <c r="Q135" s="2278"/>
      <c r="R135" s="2278"/>
      <c r="S135" s="2278"/>
      <c r="T135" s="2279">
        <f>ROUND(IPMT(($AA$3%+0.35%)/11,1,$D$171-$D$160+1,$P$172-(SUM($P$4:P134)))*-1,2)</f>
        <v>0</v>
      </c>
      <c r="U135" s="2279"/>
      <c r="V135" s="2279"/>
      <c r="W135" s="2279"/>
      <c r="Y135" s="472">
        <f>SUM(T124:W135)</f>
        <v>0</v>
      </c>
      <c r="Z135" s="469"/>
    </row>
    <row r="136" spans="1:26" ht="14.1" customHeight="1">
      <c r="A136" s="2280">
        <v>61</v>
      </c>
      <c r="B136" s="2281"/>
      <c r="C136" s="2281"/>
      <c r="D136" s="2275">
        <v>2025</v>
      </c>
      <c r="E136" s="2275"/>
      <c r="F136" s="2275"/>
      <c r="G136" s="2275"/>
      <c r="H136" s="2275" t="s">
        <v>295</v>
      </c>
      <c r="I136" s="2275"/>
      <c r="J136" s="2275"/>
      <c r="K136" s="2275"/>
      <c r="L136" s="2275"/>
      <c r="M136" s="2275"/>
      <c r="N136" s="2275"/>
      <c r="O136" s="2275"/>
      <c r="P136" s="2282">
        <v>0</v>
      </c>
      <c r="Q136" s="2283"/>
      <c r="R136" s="2283"/>
      <c r="S136" s="2283"/>
      <c r="T136" s="2284">
        <f>ROUND(IPMT(($AA$3%+0.35%)/11,1,$D$171-$D$124+1,$P$172-(SUM($P$4:P135)))*-1,2)</f>
        <v>0</v>
      </c>
      <c r="U136" s="2284"/>
      <c r="V136" s="2284"/>
      <c r="W136" s="2284"/>
      <c r="Y136" s="471"/>
      <c r="Z136" s="469"/>
    </row>
    <row r="137" spans="1:26" ht="14.1" customHeight="1">
      <c r="A137" s="2280">
        <v>62</v>
      </c>
      <c r="B137" s="2281"/>
      <c r="C137" s="2281"/>
      <c r="D137" s="2275">
        <f>$D$136</f>
        <v>2025</v>
      </c>
      <c r="E137" s="2275"/>
      <c r="F137" s="2275"/>
      <c r="G137" s="2275"/>
      <c r="H137" s="2275" t="s">
        <v>296</v>
      </c>
      <c r="I137" s="2275"/>
      <c r="J137" s="2275"/>
      <c r="K137" s="2275"/>
      <c r="L137" s="2275"/>
      <c r="M137" s="2275"/>
      <c r="N137" s="2275"/>
      <c r="O137" s="2275"/>
      <c r="P137" s="2282">
        <v>0</v>
      </c>
      <c r="Q137" s="2283"/>
      <c r="R137" s="2283"/>
      <c r="S137" s="2283"/>
      <c r="T137" s="2284">
        <f>ROUND(IPMT(($AA$3%+0.35%)/11,1,$D$171-$D$160+1,$P$172-(SUM($P$4:P136)))*-1,2)</f>
        <v>0</v>
      </c>
      <c r="U137" s="2284"/>
      <c r="V137" s="2284"/>
      <c r="W137" s="2284"/>
      <c r="Y137" s="471"/>
      <c r="Z137" s="469"/>
    </row>
    <row r="138" spans="1:26" ht="14.1" customHeight="1">
      <c r="A138" s="2280">
        <v>63</v>
      </c>
      <c r="B138" s="2281"/>
      <c r="C138" s="2281"/>
      <c r="D138" s="2275">
        <f t="shared" ref="D138:D147" si="11">$D$136</f>
        <v>2025</v>
      </c>
      <c r="E138" s="2275"/>
      <c r="F138" s="2275"/>
      <c r="G138" s="2275"/>
      <c r="H138" s="2275" t="s">
        <v>297</v>
      </c>
      <c r="I138" s="2275"/>
      <c r="J138" s="2275"/>
      <c r="K138" s="2275"/>
      <c r="L138" s="2275"/>
      <c r="M138" s="2275"/>
      <c r="N138" s="2275"/>
      <c r="O138" s="2275"/>
      <c r="P138" s="2282">
        <v>0</v>
      </c>
      <c r="Q138" s="2283"/>
      <c r="R138" s="2283"/>
      <c r="S138" s="2283"/>
      <c r="T138" s="2284">
        <f>ROUND(IPMT(($AA$3%+0.35%)/11,1,$D$171-$D$160+1,$P$172-(SUM($P$4:P137)))*-1,2)</f>
        <v>0</v>
      </c>
      <c r="U138" s="2284"/>
      <c r="V138" s="2284"/>
      <c r="W138" s="2284"/>
      <c r="Y138" s="471"/>
      <c r="Z138" s="469"/>
    </row>
    <row r="139" spans="1:26" ht="14.1" customHeight="1">
      <c r="A139" s="2280">
        <v>64</v>
      </c>
      <c r="B139" s="2281"/>
      <c r="C139" s="2281"/>
      <c r="D139" s="2275">
        <f t="shared" si="11"/>
        <v>2025</v>
      </c>
      <c r="E139" s="2275"/>
      <c r="F139" s="2275"/>
      <c r="G139" s="2275"/>
      <c r="H139" s="2275" t="s">
        <v>298</v>
      </c>
      <c r="I139" s="2275"/>
      <c r="J139" s="2275"/>
      <c r="K139" s="2275"/>
      <c r="L139" s="2275"/>
      <c r="M139" s="2275"/>
      <c r="N139" s="2275"/>
      <c r="O139" s="2275"/>
      <c r="P139" s="2282">
        <v>0</v>
      </c>
      <c r="Q139" s="2283"/>
      <c r="R139" s="2283"/>
      <c r="S139" s="2283"/>
      <c r="T139" s="2284">
        <f>ROUND(IPMT(($AA$3%+0.35%)/11,1,$D$171-$D$160+1,$P$172-(SUM($P$4:P138)))*-1,2)</f>
        <v>0</v>
      </c>
      <c r="U139" s="2284"/>
      <c r="V139" s="2284"/>
      <c r="W139" s="2284"/>
      <c r="Y139" s="471"/>
      <c r="Z139" s="469"/>
    </row>
    <row r="140" spans="1:26" ht="14.1" customHeight="1">
      <c r="A140" s="2280">
        <v>65</v>
      </c>
      <c r="B140" s="2281"/>
      <c r="C140" s="2281"/>
      <c r="D140" s="2275">
        <f t="shared" si="11"/>
        <v>2025</v>
      </c>
      <c r="E140" s="2275"/>
      <c r="F140" s="2275"/>
      <c r="G140" s="2275"/>
      <c r="H140" s="2275" t="s">
        <v>299</v>
      </c>
      <c r="I140" s="2275"/>
      <c r="J140" s="2275"/>
      <c r="K140" s="2275"/>
      <c r="L140" s="2275"/>
      <c r="M140" s="2275"/>
      <c r="N140" s="2275"/>
      <c r="O140" s="2275"/>
      <c r="P140" s="2282">
        <v>0</v>
      </c>
      <c r="Q140" s="2283"/>
      <c r="R140" s="2283"/>
      <c r="S140" s="2283"/>
      <c r="T140" s="2284">
        <f>ROUND(IPMT(($AA$3%+0.35%)/11,1,$D$171-$D$160+1,$P$172-(SUM($P$4:P139)))*-1,2)</f>
        <v>0</v>
      </c>
      <c r="U140" s="2284"/>
      <c r="V140" s="2284"/>
      <c r="W140" s="2284"/>
      <c r="Y140" s="471"/>
      <c r="Z140" s="469"/>
    </row>
    <row r="141" spans="1:26" ht="14.1" customHeight="1">
      <c r="A141" s="2280">
        <v>66</v>
      </c>
      <c r="B141" s="2281"/>
      <c r="C141" s="2281"/>
      <c r="D141" s="2275">
        <f t="shared" si="11"/>
        <v>2025</v>
      </c>
      <c r="E141" s="2275"/>
      <c r="F141" s="2275"/>
      <c r="G141" s="2275"/>
      <c r="H141" s="2275" t="s">
        <v>300</v>
      </c>
      <c r="I141" s="2275"/>
      <c r="J141" s="2275"/>
      <c r="K141" s="2275"/>
      <c r="L141" s="2275"/>
      <c r="M141" s="2275"/>
      <c r="N141" s="2275"/>
      <c r="O141" s="2275"/>
      <c r="P141" s="2282">
        <v>0</v>
      </c>
      <c r="Q141" s="2283"/>
      <c r="R141" s="2283"/>
      <c r="S141" s="2283"/>
      <c r="T141" s="2284">
        <f>ROUND(IPMT(($AA$3%+0.35%)/11,1,$D$171-$D$160+1,$P$172-(SUM($P$4:P140)))*-1,2)</f>
        <v>0</v>
      </c>
      <c r="U141" s="2284"/>
      <c r="V141" s="2284"/>
      <c r="W141" s="2284"/>
      <c r="Y141" s="471"/>
      <c r="Z141" s="469"/>
    </row>
    <row r="142" spans="1:26" ht="14.1" customHeight="1">
      <c r="A142" s="2280">
        <v>67</v>
      </c>
      <c r="B142" s="2281"/>
      <c r="C142" s="2281"/>
      <c r="D142" s="2275">
        <f t="shared" si="11"/>
        <v>2025</v>
      </c>
      <c r="E142" s="2275"/>
      <c r="F142" s="2275"/>
      <c r="G142" s="2275"/>
      <c r="H142" s="2275" t="s">
        <v>301</v>
      </c>
      <c r="I142" s="2275"/>
      <c r="J142" s="2275"/>
      <c r="K142" s="2275"/>
      <c r="L142" s="2275"/>
      <c r="M142" s="2275"/>
      <c r="N142" s="2275"/>
      <c r="O142" s="2275"/>
      <c r="P142" s="2282">
        <v>0</v>
      </c>
      <c r="Q142" s="2283"/>
      <c r="R142" s="2283"/>
      <c r="S142" s="2283"/>
      <c r="T142" s="2284">
        <f>ROUND(IPMT(($AA$3%+0.35%)/11,1,$D$171-$D$160+1,$P$172-(SUM($P$4:P141)))*-1,2)</f>
        <v>0</v>
      </c>
      <c r="U142" s="2284"/>
      <c r="V142" s="2284"/>
      <c r="W142" s="2284"/>
      <c r="Y142" s="471"/>
      <c r="Z142" s="469"/>
    </row>
    <row r="143" spans="1:26" ht="14.1" customHeight="1">
      <c r="A143" s="2280">
        <v>68</v>
      </c>
      <c r="B143" s="2281"/>
      <c r="C143" s="2281"/>
      <c r="D143" s="2275">
        <f t="shared" si="11"/>
        <v>2025</v>
      </c>
      <c r="E143" s="2275"/>
      <c r="F143" s="2275"/>
      <c r="G143" s="2275"/>
      <c r="H143" s="2275" t="s">
        <v>302</v>
      </c>
      <c r="I143" s="2275"/>
      <c r="J143" s="2275"/>
      <c r="K143" s="2275"/>
      <c r="L143" s="2275"/>
      <c r="M143" s="2275"/>
      <c r="N143" s="2275"/>
      <c r="O143" s="2275"/>
      <c r="P143" s="2282">
        <v>0</v>
      </c>
      <c r="Q143" s="2283"/>
      <c r="R143" s="2283"/>
      <c r="S143" s="2283"/>
      <c r="T143" s="2284">
        <f>ROUND(IPMT(($AA$3%+0.35%)/11,1,$D$171-$D$160+1,$P$172-(SUM($P$4:P142)))*-1,2)</f>
        <v>0</v>
      </c>
      <c r="U143" s="2284"/>
      <c r="V143" s="2284"/>
      <c r="W143" s="2284"/>
      <c r="Y143" s="471"/>
      <c r="Z143" s="469"/>
    </row>
    <row r="144" spans="1:26" ht="14.1" customHeight="1">
      <c r="A144" s="2280">
        <v>69</v>
      </c>
      <c r="B144" s="2281"/>
      <c r="C144" s="2281"/>
      <c r="D144" s="2275">
        <f t="shared" si="11"/>
        <v>2025</v>
      </c>
      <c r="E144" s="2275"/>
      <c r="F144" s="2275"/>
      <c r="G144" s="2275"/>
      <c r="H144" s="2275" t="s">
        <v>303</v>
      </c>
      <c r="I144" s="2275"/>
      <c r="J144" s="2275"/>
      <c r="K144" s="2275"/>
      <c r="L144" s="2275"/>
      <c r="M144" s="2275"/>
      <c r="N144" s="2275"/>
      <c r="O144" s="2275"/>
      <c r="P144" s="2282">
        <v>0</v>
      </c>
      <c r="Q144" s="2283"/>
      <c r="R144" s="2283"/>
      <c r="S144" s="2283"/>
      <c r="T144" s="2284">
        <f>ROUND(IPMT(($AA$3%+0.35%)/11,1,$D$171-$D$160+1,$P$172-(SUM($P$4:P143)))*-1,2)</f>
        <v>0</v>
      </c>
      <c r="U144" s="2284"/>
      <c r="V144" s="2284"/>
      <c r="W144" s="2284"/>
      <c r="Y144" s="471"/>
      <c r="Z144" s="469"/>
    </row>
    <row r="145" spans="1:26" ht="14.1" customHeight="1">
      <c r="A145" s="2280">
        <v>70</v>
      </c>
      <c r="B145" s="2281"/>
      <c r="C145" s="2281"/>
      <c r="D145" s="2275">
        <f t="shared" si="11"/>
        <v>2025</v>
      </c>
      <c r="E145" s="2275"/>
      <c r="F145" s="2275"/>
      <c r="G145" s="2275"/>
      <c r="H145" s="2275" t="s">
        <v>304</v>
      </c>
      <c r="I145" s="2275"/>
      <c r="J145" s="2275"/>
      <c r="K145" s="2275"/>
      <c r="L145" s="2275"/>
      <c r="M145" s="2275"/>
      <c r="N145" s="2275"/>
      <c r="O145" s="2275"/>
      <c r="P145" s="2282">
        <v>0</v>
      </c>
      <c r="Q145" s="2283"/>
      <c r="R145" s="2283"/>
      <c r="S145" s="2283"/>
      <c r="T145" s="2284">
        <f>ROUND(IPMT(($AA$3%+0.35%)/11,1,$D$171-$D$160+1,$P$172-(SUM($P$4:P144)))*-1,2)</f>
        <v>0</v>
      </c>
      <c r="U145" s="2284"/>
      <c r="V145" s="2284"/>
      <c r="W145" s="2284"/>
      <c r="Y145" s="471"/>
      <c r="Z145" s="469"/>
    </row>
    <row r="146" spans="1:26" s="475" customFormat="1" ht="14.1" customHeight="1">
      <c r="A146" s="2311">
        <v>71</v>
      </c>
      <c r="B146" s="2312"/>
      <c r="C146" s="2312"/>
      <c r="D146" s="2313">
        <f t="shared" si="11"/>
        <v>2025</v>
      </c>
      <c r="E146" s="2313"/>
      <c r="F146" s="2313"/>
      <c r="G146" s="2313"/>
      <c r="H146" s="2313" t="s">
        <v>305</v>
      </c>
      <c r="I146" s="2313"/>
      <c r="J146" s="2313"/>
      <c r="K146" s="2313"/>
      <c r="L146" s="2313"/>
      <c r="M146" s="2313"/>
      <c r="N146" s="2313"/>
      <c r="O146" s="2313"/>
      <c r="P146" s="2314">
        <f>'HSZ do groszy'!AG29</f>
        <v>0</v>
      </c>
      <c r="Q146" s="2315"/>
      <c r="R146" s="2315"/>
      <c r="S146" s="2315"/>
      <c r="T146" s="2316">
        <f>ROUND(IPMT(($AA$3%+0.35%)/11,1,$D$171-$D$160+1,$P$172-(SUM($P$4:P145)))*-1,2)</f>
        <v>0</v>
      </c>
      <c r="U146" s="2316"/>
      <c r="V146" s="2316"/>
      <c r="W146" s="2316"/>
      <c r="Y146" s="477"/>
      <c r="Z146" s="476"/>
    </row>
    <row r="147" spans="1:26" ht="14.1" customHeight="1">
      <c r="A147" s="2273">
        <v>72</v>
      </c>
      <c r="B147" s="2274"/>
      <c r="C147" s="2274"/>
      <c r="D147" s="2275">
        <f t="shared" si="11"/>
        <v>2025</v>
      </c>
      <c r="E147" s="2275"/>
      <c r="F147" s="2275"/>
      <c r="G147" s="2275"/>
      <c r="H147" s="2276" t="s">
        <v>306</v>
      </c>
      <c r="I147" s="2276"/>
      <c r="J147" s="2276"/>
      <c r="K147" s="2276"/>
      <c r="L147" s="2276"/>
      <c r="M147" s="2276"/>
      <c r="N147" s="2276"/>
      <c r="O147" s="2276"/>
      <c r="P147" s="2277">
        <v>0</v>
      </c>
      <c r="Q147" s="2278"/>
      <c r="R147" s="2278"/>
      <c r="S147" s="2278"/>
      <c r="T147" s="2279">
        <f>ROUND(IPMT(($AA$3%+0.35%)/11,1,$D$171-$D$160+1,$P$172-(SUM($P$4:P146)))*-1,2)</f>
        <v>0</v>
      </c>
      <c r="U147" s="2279"/>
      <c r="V147" s="2279"/>
      <c r="W147" s="2279"/>
      <c r="Y147" s="472">
        <f>SUM(T136:W147)</f>
        <v>0</v>
      </c>
      <c r="Z147" s="469"/>
    </row>
    <row r="148" spans="1:26" ht="14.1" customHeight="1">
      <c r="A148" s="2280">
        <v>61</v>
      </c>
      <c r="B148" s="2281"/>
      <c r="C148" s="2281"/>
      <c r="D148" s="2275">
        <f>D147+1</f>
        <v>2026</v>
      </c>
      <c r="E148" s="2275"/>
      <c r="F148" s="2275"/>
      <c r="G148" s="2275"/>
      <c r="H148" s="2275" t="s">
        <v>295</v>
      </c>
      <c r="I148" s="2275"/>
      <c r="J148" s="2275"/>
      <c r="K148" s="2275"/>
      <c r="L148" s="2275"/>
      <c r="M148" s="2275"/>
      <c r="N148" s="2275"/>
      <c r="O148" s="2275"/>
      <c r="P148" s="2282">
        <v>0</v>
      </c>
      <c r="Q148" s="2283"/>
      <c r="R148" s="2283"/>
      <c r="S148" s="2283"/>
      <c r="T148" s="2284">
        <f>ROUND(IPMT(($AA$3%+0.35%)/11,1,$D$171-$D$124+1,$P$172-(SUM($P$4:P147)))*-1,2)</f>
        <v>0</v>
      </c>
      <c r="U148" s="2284"/>
      <c r="V148" s="2284"/>
      <c r="W148" s="2284"/>
      <c r="Y148" s="471"/>
      <c r="Z148" s="469"/>
    </row>
    <row r="149" spans="1:26" ht="14.1" customHeight="1">
      <c r="A149" s="2280">
        <v>62</v>
      </c>
      <c r="B149" s="2281"/>
      <c r="C149" s="2281"/>
      <c r="D149" s="2275">
        <f>$D$148</f>
        <v>2026</v>
      </c>
      <c r="E149" s="2275"/>
      <c r="F149" s="2275"/>
      <c r="G149" s="2275"/>
      <c r="H149" s="2275" t="s">
        <v>296</v>
      </c>
      <c r="I149" s="2275"/>
      <c r="J149" s="2275"/>
      <c r="K149" s="2275"/>
      <c r="L149" s="2275"/>
      <c r="M149" s="2275"/>
      <c r="N149" s="2275"/>
      <c r="O149" s="2275"/>
      <c r="P149" s="2282">
        <v>0</v>
      </c>
      <c r="Q149" s="2283"/>
      <c r="R149" s="2283"/>
      <c r="S149" s="2283"/>
      <c r="T149" s="2284">
        <f>ROUND(IPMT(($AA$3%+0.35%)/11,1,$D$171-$D$160+1,$P$172-(SUM($P$4:P148)))*-1,2)</f>
        <v>0</v>
      </c>
      <c r="U149" s="2284"/>
      <c r="V149" s="2284"/>
      <c r="W149" s="2284"/>
      <c r="Y149" s="471"/>
      <c r="Z149" s="469"/>
    </row>
    <row r="150" spans="1:26" ht="14.1" customHeight="1">
      <c r="A150" s="2280">
        <v>63</v>
      </c>
      <c r="B150" s="2281"/>
      <c r="C150" s="2281"/>
      <c r="D150" s="2275">
        <f t="shared" ref="D150:D159" si="12">$D$148</f>
        <v>2026</v>
      </c>
      <c r="E150" s="2275"/>
      <c r="F150" s="2275"/>
      <c r="G150" s="2275"/>
      <c r="H150" s="2275" t="s">
        <v>297</v>
      </c>
      <c r="I150" s="2275"/>
      <c r="J150" s="2275"/>
      <c r="K150" s="2275"/>
      <c r="L150" s="2275"/>
      <c r="M150" s="2275"/>
      <c r="N150" s="2275"/>
      <c r="O150" s="2275"/>
      <c r="P150" s="2282">
        <v>0</v>
      </c>
      <c r="Q150" s="2283"/>
      <c r="R150" s="2283"/>
      <c r="S150" s="2283"/>
      <c r="T150" s="2284">
        <f>ROUND(IPMT(($AA$3%+0.35%)/11,1,$D$171-$D$160+1,$P$172-(SUM($P$4:P149)))*-1,2)</f>
        <v>0</v>
      </c>
      <c r="U150" s="2284"/>
      <c r="V150" s="2284"/>
      <c r="W150" s="2284"/>
      <c r="Y150" s="471"/>
      <c r="Z150" s="469"/>
    </row>
    <row r="151" spans="1:26" ht="14.1" customHeight="1">
      <c r="A151" s="2280">
        <v>64</v>
      </c>
      <c r="B151" s="2281"/>
      <c r="C151" s="2281"/>
      <c r="D151" s="2275">
        <f t="shared" si="12"/>
        <v>2026</v>
      </c>
      <c r="E151" s="2275"/>
      <c r="F151" s="2275"/>
      <c r="G151" s="2275"/>
      <c r="H151" s="2275" t="s">
        <v>298</v>
      </c>
      <c r="I151" s="2275"/>
      <c r="J151" s="2275"/>
      <c r="K151" s="2275"/>
      <c r="L151" s="2275"/>
      <c r="M151" s="2275"/>
      <c r="N151" s="2275"/>
      <c r="O151" s="2275"/>
      <c r="P151" s="2282">
        <v>0</v>
      </c>
      <c r="Q151" s="2283"/>
      <c r="R151" s="2283"/>
      <c r="S151" s="2283"/>
      <c r="T151" s="2284">
        <f>ROUND(IPMT(($AA$3%+0.35%)/11,1,$D$171-$D$160+1,$P$172-(SUM($P$4:P150)))*-1,2)</f>
        <v>0</v>
      </c>
      <c r="U151" s="2284"/>
      <c r="V151" s="2284"/>
      <c r="W151" s="2284"/>
      <c r="Y151" s="471"/>
      <c r="Z151" s="469"/>
    </row>
    <row r="152" spans="1:26" ht="14.1" customHeight="1">
      <c r="A152" s="2280">
        <v>65</v>
      </c>
      <c r="B152" s="2281"/>
      <c r="C152" s="2281"/>
      <c r="D152" s="2275">
        <f t="shared" si="12"/>
        <v>2026</v>
      </c>
      <c r="E152" s="2275"/>
      <c r="F152" s="2275"/>
      <c r="G152" s="2275"/>
      <c r="H152" s="2275" t="s">
        <v>299</v>
      </c>
      <c r="I152" s="2275"/>
      <c r="J152" s="2275"/>
      <c r="K152" s="2275"/>
      <c r="L152" s="2275"/>
      <c r="M152" s="2275"/>
      <c r="N152" s="2275"/>
      <c r="O152" s="2275"/>
      <c r="P152" s="2282">
        <v>0</v>
      </c>
      <c r="Q152" s="2283"/>
      <c r="R152" s="2283"/>
      <c r="S152" s="2283"/>
      <c r="T152" s="2284">
        <f>ROUND(IPMT(($AA$3%+0.35%)/11,1,$D$171-$D$160+1,$P$172-(SUM($P$4:P151)))*-1,2)</f>
        <v>0</v>
      </c>
      <c r="U152" s="2284"/>
      <c r="V152" s="2284"/>
      <c r="W152" s="2284"/>
      <c r="Y152" s="471"/>
      <c r="Z152" s="469"/>
    </row>
    <row r="153" spans="1:26" ht="14.1" customHeight="1">
      <c r="A153" s="2280">
        <v>66</v>
      </c>
      <c r="B153" s="2281"/>
      <c r="C153" s="2281"/>
      <c r="D153" s="2275">
        <f t="shared" si="12"/>
        <v>2026</v>
      </c>
      <c r="E153" s="2275"/>
      <c r="F153" s="2275"/>
      <c r="G153" s="2275"/>
      <c r="H153" s="2275" t="s">
        <v>300</v>
      </c>
      <c r="I153" s="2275"/>
      <c r="J153" s="2275"/>
      <c r="K153" s="2275"/>
      <c r="L153" s="2275"/>
      <c r="M153" s="2275"/>
      <c r="N153" s="2275"/>
      <c r="O153" s="2275"/>
      <c r="P153" s="2282">
        <v>0</v>
      </c>
      <c r="Q153" s="2283"/>
      <c r="R153" s="2283"/>
      <c r="S153" s="2283"/>
      <c r="T153" s="2284">
        <f>ROUND(IPMT(($AA$3%+0.35%)/11,1,$D$171-$D$160+1,$P$172-(SUM($P$4:P152)))*-1,2)</f>
        <v>0</v>
      </c>
      <c r="U153" s="2284"/>
      <c r="V153" s="2284"/>
      <c r="W153" s="2284"/>
      <c r="Y153" s="471"/>
      <c r="Z153" s="469"/>
    </row>
    <row r="154" spans="1:26" ht="14.1" customHeight="1">
      <c r="A154" s="2280">
        <v>67</v>
      </c>
      <c r="B154" s="2281"/>
      <c r="C154" s="2281"/>
      <c r="D154" s="2275">
        <f t="shared" si="12"/>
        <v>2026</v>
      </c>
      <c r="E154" s="2275"/>
      <c r="F154" s="2275"/>
      <c r="G154" s="2275"/>
      <c r="H154" s="2275" t="s">
        <v>301</v>
      </c>
      <c r="I154" s="2275"/>
      <c r="J154" s="2275"/>
      <c r="K154" s="2275"/>
      <c r="L154" s="2275"/>
      <c r="M154" s="2275"/>
      <c r="N154" s="2275"/>
      <c r="O154" s="2275"/>
      <c r="P154" s="2282">
        <v>0</v>
      </c>
      <c r="Q154" s="2283"/>
      <c r="R154" s="2283"/>
      <c r="S154" s="2283"/>
      <c r="T154" s="2284">
        <f>ROUND(IPMT(($AA$3%+0.35%)/11,1,$D$171-$D$160+1,$P$172-(SUM($P$4:P153)))*-1,2)</f>
        <v>0</v>
      </c>
      <c r="U154" s="2284"/>
      <c r="V154" s="2284"/>
      <c r="W154" s="2284"/>
      <c r="Y154" s="471"/>
      <c r="Z154" s="469"/>
    </row>
    <row r="155" spans="1:26" ht="14.1" customHeight="1">
      <c r="A155" s="2280">
        <v>68</v>
      </c>
      <c r="B155" s="2281"/>
      <c r="C155" s="2281"/>
      <c r="D155" s="2275">
        <f t="shared" si="12"/>
        <v>2026</v>
      </c>
      <c r="E155" s="2275"/>
      <c r="F155" s="2275"/>
      <c r="G155" s="2275"/>
      <c r="H155" s="2275" t="s">
        <v>302</v>
      </c>
      <c r="I155" s="2275"/>
      <c r="J155" s="2275"/>
      <c r="K155" s="2275"/>
      <c r="L155" s="2275"/>
      <c r="M155" s="2275"/>
      <c r="N155" s="2275"/>
      <c r="O155" s="2275"/>
      <c r="P155" s="2282">
        <v>0</v>
      </c>
      <c r="Q155" s="2283"/>
      <c r="R155" s="2283"/>
      <c r="S155" s="2283"/>
      <c r="T155" s="2284">
        <f>ROUND(IPMT(($AA$3%+0.35%)/11,1,$D$171-$D$160+1,$P$172-(SUM($P$4:P154)))*-1,2)</f>
        <v>0</v>
      </c>
      <c r="U155" s="2284"/>
      <c r="V155" s="2284"/>
      <c r="W155" s="2284"/>
      <c r="Y155" s="471"/>
      <c r="Z155" s="469"/>
    </row>
    <row r="156" spans="1:26" ht="14.1" customHeight="1">
      <c r="A156" s="2280">
        <v>69</v>
      </c>
      <c r="B156" s="2281"/>
      <c r="C156" s="2281"/>
      <c r="D156" s="2275">
        <f t="shared" si="12"/>
        <v>2026</v>
      </c>
      <c r="E156" s="2275"/>
      <c r="F156" s="2275"/>
      <c r="G156" s="2275"/>
      <c r="H156" s="2275" t="s">
        <v>303</v>
      </c>
      <c r="I156" s="2275"/>
      <c r="J156" s="2275"/>
      <c r="K156" s="2275"/>
      <c r="L156" s="2275"/>
      <c r="M156" s="2275"/>
      <c r="N156" s="2275"/>
      <c r="O156" s="2275"/>
      <c r="P156" s="2282">
        <v>0</v>
      </c>
      <c r="Q156" s="2283"/>
      <c r="R156" s="2283"/>
      <c r="S156" s="2283"/>
      <c r="T156" s="2284">
        <f>ROUND(IPMT(($AA$3%+0.35%)/11,1,$D$171-$D$160+1,$P$172-(SUM($P$4:P155)))*-1,2)</f>
        <v>0</v>
      </c>
      <c r="U156" s="2284"/>
      <c r="V156" s="2284"/>
      <c r="W156" s="2284"/>
      <c r="Y156" s="471"/>
      <c r="Z156" s="469"/>
    </row>
    <row r="157" spans="1:26" ht="14.1" customHeight="1">
      <c r="A157" s="2280">
        <v>70</v>
      </c>
      <c r="B157" s="2281"/>
      <c r="C157" s="2281"/>
      <c r="D157" s="2275">
        <f t="shared" si="12"/>
        <v>2026</v>
      </c>
      <c r="E157" s="2275"/>
      <c r="F157" s="2275"/>
      <c r="G157" s="2275"/>
      <c r="H157" s="2275" t="s">
        <v>304</v>
      </c>
      <c r="I157" s="2275"/>
      <c r="J157" s="2275"/>
      <c r="K157" s="2275"/>
      <c r="L157" s="2275"/>
      <c r="M157" s="2275"/>
      <c r="N157" s="2275"/>
      <c r="O157" s="2275"/>
      <c r="P157" s="2282">
        <v>0</v>
      </c>
      <c r="Q157" s="2283"/>
      <c r="R157" s="2283"/>
      <c r="S157" s="2283"/>
      <c r="T157" s="2284">
        <f>ROUND(IPMT(($AA$3%+0.35%)/11,1,$D$171-$D$160+1,$P$172-(SUM($P$4:P156)))*-1,2)</f>
        <v>0</v>
      </c>
      <c r="U157" s="2284"/>
      <c r="V157" s="2284"/>
      <c r="W157" s="2284"/>
      <c r="Y157" s="471"/>
      <c r="Z157" s="469"/>
    </row>
    <row r="158" spans="1:26" s="475" customFormat="1" ht="14.1" customHeight="1">
      <c r="A158" s="2311">
        <v>71</v>
      </c>
      <c r="B158" s="2312"/>
      <c r="C158" s="2312"/>
      <c r="D158" s="2313">
        <f t="shared" si="12"/>
        <v>2026</v>
      </c>
      <c r="E158" s="2313"/>
      <c r="F158" s="2313"/>
      <c r="G158" s="2313"/>
      <c r="H158" s="2313" t="s">
        <v>305</v>
      </c>
      <c r="I158" s="2313"/>
      <c r="J158" s="2313"/>
      <c r="K158" s="2313"/>
      <c r="L158" s="2313"/>
      <c r="M158" s="2313"/>
      <c r="N158" s="2313"/>
      <c r="O158" s="2313"/>
      <c r="P158" s="2314">
        <v>0</v>
      </c>
      <c r="Q158" s="2315"/>
      <c r="R158" s="2315"/>
      <c r="S158" s="2315"/>
      <c r="T158" s="2316">
        <f>ROUND(IPMT(($AA$3%+0.35%)/11,1,$D$171-$D$160+1,$P$172-(SUM($P$4:P157)))*-1,2)</f>
        <v>0</v>
      </c>
      <c r="U158" s="2316"/>
      <c r="V158" s="2316"/>
      <c r="W158" s="2316"/>
      <c r="Y158" s="477"/>
      <c r="Z158" s="476"/>
    </row>
    <row r="159" spans="1:26" ht="14.1" customHeight="1">
      <c r="A159" s="2273">
        <v>72</v>
      </c>
      <c r="B159" s="2274"/>
      <c r="C159" s="2274"/>
      <c r="D159" s="2275">
        <f t="shared" si="12"/>
        <v>2026</v>
      </c>
      <c r="E159" s="2275"/>
      <c r="F159" s="2275"/>
      <c r="G159" s="2275"/>
      <c r="H159" s="2276" t="s">
        <v>306</v>
      </c>
      <c r="I159" s="2276"/>
      <c r="J159" s="2276"/>
      <c r="K159" s="2276"/>
      <c r="L159" s="2276"/>
      <c r="M159" s="2276"/>
      <c r="N159" s="2276"/>
      <c r="O159" s="2276"/>
      <c r="P159" s="2277">
        <v>0</v>
      </c>
      <c r="Q159" s="2278"/>
      <c r="R159" s="2278"/>
      <c r="S159" s="2278"/>
      <c r="T159" s="2279">
        <f>ROUND(IPMT(($AA$3%+0.35%)/11,1,$D$171-$D$160+1,$P$172-(SUM($P$4:P158)))*-1,2)</f>
        <v>0</v>
      </c>
      <c r="U159" s="2279"/>
      <c r="V159" s="2279"/>
      <c r="W159" s="2279"/>
      <c r="Y159" s="472">
        <f>SUM(T148:W159)</f>
        <v>0</v>
      </c>
      <c r="Z159" s="469"/>
    </row>
    <row r="160" spans="1:26" ht="14.1" customHeight="1">
      <c r="A160" s="2280">
        <v>61</v>
      </c>
      <c r="B160" s="2281"/>
      <c r="C160" s="2281"/>
      <c r="D160" s="2275">
        <f>D148+1</f>
        <v>2027</v>
      </c>
      <c r="E160" s="2275"/>
      <c r="F160" s="2275"/>
      <c r="G160" s="2275"/>
      <c r="H160" s="2275" t="s">
        <v>295</v>
      </c>
      <c r="I160" s="2275"/>
      <c r="J160" s="2275"/>
      <c r="K160" s="2275"/>
      <c r="L160" s="2275"/>
      <c r="M160" s="2275"/>
      <c r="N160" s="2275"/>
      <c r="O160" s="2275"/>
      <c r="P160" s="2282">
        <v>0</v>
      </c>
      <c r="Q160" s="2283"/>
      <c r="R160" s="2283"/>
      <c r="S160" s="2283"/>
      <c r="T160" s="2284">
        <f>ROUND(IPMT(($AA$3%+0.35%)/11,1,$D$171-$D$124+1,$P$172-(SUM($P$4:P159)))*-1,2)</f>
        <v>0</v>
      </c>
      <c r="U160" s="2284"/>
      <c r="V160" s="2284"/>
      <c r="W160" s="2284"/>
    </row>
    <row r="161" spans="1:53" ht="14.1" customHeight="1">
      <c r="A161" s="2280">
        <v>62</v>
      </c>
      <c r="B161" s="2281"/>
      <c r="C161" s="2281"/>
      <c r="D161" s="2275">
        <f>$D$160</f>
        <v>2027</v>
      </c>
      <c r="E161" s="2275"/>
      <c r="F161" s="2275"/>
      <c r="G161" s="2275"/>
      <c r="H161" s="2275" t="s">
        <v>296</v>
      </c>
      <c r="I161" s="2275"/>
      <c r="J161" s="2275"/>
      <c r="K161" s="2275"/>
      <c r="L161" s="2275"/>
      <c r="M161" s="2275"/>
      <c r="N161" s="2275"/>
      <c r="O161" s="2275"/>
      <c r="P161" s="2282">
        <v>0</v>
      </c>
      <c r="Q161" s="2283"/>
      <c r="R161" s="2283"/>
      <c r="S161" s="2283"/>
      <c r="T161" s="2284">
        <f>ROUND(IPMT(($AA$3%+0.35%)/11,1,$D$171-$D$160+1,$P$172-(SUM($P$4:P160)))*-1,2)</f>
        <v>0</v>
      </c>
      <c r="U161" s="2284"/>
      <c r="V161" s="2284"/>
      <c r="W161" s="2284"/>
    </row>
    <row r="162" spans="1:53" ht="14.1" customHeight="1">
      <c r="A162" s="2280">
        <v>63</v>
      </c>
      <c r="B162" s="2281"/>
      <c r="C162" s="2281"/>
      <c r="D162" s="2275">
        <f t="shared" ref="D162:D171" si="13">$D$160</f>
        <v>2027</v>
      </c>
      <c r="E162" s="2275"/>
      <c r="F162" s="2275"/>
      <c r="G162" s="2275"/>
      <c r="H162" s="2275" t="s">
        <v>297</v>
      </c>
      <c r="I162" s="2275"/>
      <c r="J162" s="2275"/>
      <c r="K162" s="2275"/>
      <c r="L162" s="2275"/>
      <c r="M162" s="2275"/>
      <c r="N162" s="2275"/>
      <c r="O162" s="2275"/>
      <c r="P162" s="2282">
        <v>0</v>
      </c>
      <c r="Q162" s="2283"/>
      <c r="R162" s="2283"/>
      <c r="S162" s="2283"/>
      <c r="T162" s="2284">
        <f>ROUND(IPMT(($AA$3%+0.35%)/11,1,$D$171-$D$160+1,$P$172-(SUM($P$4:P161)))*-1,2)</f>
        <v>0</v>
      </c>
      <c r="U162" s="2284"/>
      <c r="V162" s="2284"/>
      <c r="W162" s="2284"/>
    </row>
    <row r="163" spans="1:53" ht="14.1" customHeight="1">
      <c r="A163" s="2280">
        <v>64</v>
      </c>
      <c r="B163" s="2281"/>
      <c r="C163" s="2281"/>
      <c r="D163" s="2275">
        <f t="shared" si="13"/>
        <v>2027</v>
      </c>
      <c r="E163" s="2275"/>
      <c r="F163" s="2275"/>
      <c r="G163" s="2275"/>
      <c r="H163" s="2275" t="s">
        <v>298</v>
      </c>
      <c r="I163" s="2275"/>
      <c r="J163" s="2275"/>
      <c r="K163" s="2275"/>
      <c r="L163" s="2275"/>
      <c r="M163" s="2275"/>
      <c r="N163" s="2275"/>
      <c r="O163" s="2275"/>
      <c r="P163" s="2282">
        <v>0</v>
      </c>
      <c r="Q163" s="2283"/>
      <c r="R163" s="2283"/>
      <c r="S163" s="2283"/>
      <c r="T163" s="2284">
        <f>ROUND(IPMT(($AA$3%+0.35%)/11,1,$D$171-$D$160+1,$P$172-(SUM($P$4:P162)))*-1,2)</f>
        <v>0</v>
      </c>
      <c r="U163" s="2284"/>
      <c r="V163" s="2284"/>
      <c r="W163" s="2284"/>
    </row>
    <row r="164" spans="1:53" ht="14.1" customHeight="1">
      <c r="A164" s="2280">
        <v>65</v>
      </c>
      <c r="B164" s="2281"/>
      <c r="C164" s="2281"/>
      <c r="D164" s="2275">
        <f t="shared" si="13"/>
        <v>2027</v>
      </c>
      <c r="E164" s="2275"/>
      <c r="F164" s="2275"/>
      <c r="G164" s="2275"/>
      <c r="H164" s="2275" t="s">
        <v>299</v>
      </c>
      <c r="I164" s="2275"/>
      <c r="J164" s="2275"/>
      <c r="K164" s="2275"/>
      <c r="L164" s="2275"/>
      <c r="M164" s="2275"/>
      <c r="N164" s="2275"/>
      <c r="O164" s="2275"/>
      <c r="P164" s="2282">
        <v>0</v>
      </c>
      <c r="Q164" s="2283"/>
      <c r="R164" s="2283"/>
      <c r="S164" s="2283"/>
      <c r="T164" s="2284">
        <f>ROUND(IPMT(($AA$3%+0.35%)/11,1,$D$171-$D$160+1,$P$172-(SUM($P$4:P163)))*-1,2)</f>
        <v>0</v>
      </c>
      <c r="U164" s="2284"/>
      <c r="V164" s="2284"/>
      <c r="W164" s="2284"/>
    </row>
    <row r="165" spans="1:53" ht="14.1" customHeight="1">
      <c r="A165" s="2280">
        <v>66</v>
      </c>
      <c r="B165" s="2281"/>
      <c r="C165" s="2281"/>
      <c r="D165" s="2275">
        <f t="shared" si="13"/>
        <v>2027</v>
      </c>
      <c r="E165" s="2275"/>
      <c r="F165" s="2275"/>
      <c r="G165" s="2275"/>
      <c r="H165" s="2275" t="s">
        <v>300</v>
      </c>
      <c r="I165" s="2275"/>
      <c r="J165" s="2275"/>
      <c r="K165" s="2275"/>
      <c r="L165" s="2275"/>
      <c r="M165" s="2275"/>
      <c r="N165" s="2275"/>
      <c r="O165" s="2275"/>
      <c r="P165" s="2282">
        <v>0</v>
      </c>
      <c r="Q165" s="2283"/>
      <c r="R165" s="2283"/>
      <c r="S165" s="2283"/>
      <c r="T165" s="2284">
        <f>ROUND(IPMT(($AA$3%+0.35%)/11,1,$D$171-$D$160+1,$P$172-(SUM($P$4:P164)))*-1,2)</f>
        <v>0</v>
      </c>
      <c r="U165" s="2284"/>
      <c r="V165" s="2284"/>
      <c r="W165" s="2284"/>
    </row>
    <row r="166" spans="1:53" ht="14.1" customHeight="1">
      <c r="A166" s="2280">
        <v>67</v>
      </c>
      <c r="B166" s="2281"/>
      <c r="C166" s="2281"/>
      <c r="D166" s="2275">
        <f t="shared" si="13"/>
        <v>2027</v>
      </c>
      <c r="E166" s="2275"/>
      <c r="F166" s="2275"/>
      <c r="G166" s="2275"/>
      <c r="H166" s="2275" t="s">
        <v>301</v>
      </c>
      <c r="I166" s="2275"/>
      <c r="J166" s="2275"/>
      <c r="K166" s="2275"/>
      <c r="L166" s="2275"/>
      <c r="M166" s="2275"/>
      <c r="N166" s="2275"/>
      <c r="O166" s="2275"/>
      <c r="P166" s="2282">
        <v>0</v>
      </c>
      <c r="Q166" s="2283"/>
      <c r="R166" s="2283"/>
      <c r="S166" s="2283"/>
      <c r="T166" s="2284">
        <f>ROUND(IPMT(($AA$3%+0.35%)/11,1,$D$171-$D$160+1,$P$172-(SUM($P$4:P165)))*-1,2)</f>
        <v>0</v>
      </c>
      <c r="U166" s="2284"/>
      <c r="V166" s="2284"/>
      <c r="W166" s="2284"/>
    </row>
    <row r="167" spans="1:53" ht="14.1" customHeight="1">
      <c r="A167" s="2280">
        <v>68</v>
      </c>
      <c r="B167" s="2281"/>
      <c r="C167" s="2281"/>
      <c r="D167" s="2275">
        <f t="shared" si="13"/>
        <v>2027</v>
      </c>
      <c r="E167" s="2275"/>
      <c r="F167" s="2275"/>
      <c r="G167" s="2275"/>
      <c r="H167" s="2275" t="s">
        <v>302</v>
      </c>
      <c r="I167" s="2275"/>
      <c r="J167" s="2275"/>
      <c r="K167" s="2275"/>
      <c r="L167" s="2275"/>
      <c r="M167" s="2275"/>
      <c r="N167" s="2275"/>
      <c r="O167" s="2275"/>
      <c r="P167" s="2282">
        <v>0</v>
      </c>
      <c r="Q167" s="2283"/>
      <c r="R167" s="2283"/>
      <c r="S167" s="2283"/>
      <c r="T167" s="2284">
        <f>ROUND(IPMT(($AA$3%+0.35%)/11,1,$D$171-$D$160+1,$P$172-(SUM($P$4:P166)))*-1,2)</f>
        <v>0</v>
      </c>
      <c r="U167" s="2284"/>
      <c r="V167" s="2284"/>
      <c r="W167" s="2284"/>
    </row>
    <row r="168" spans="1:53" ht="14.1" customHeight="1">
      <c r="A168" s="2280">
        <v>69</v>
      </c>
      <c r="B168" s="2281"/>
      <c r="C168" s="2281"/>
      <c r="D168" s="2275">
        <f t="shared" si="13"/>
        <v>2027</v>
      </c>
      <c r="E168" s="2275"/>
      <c r="F168" s="2275"/>
      <c r="G168" s="2275"/>
      <c r="H168" s="2275" t="s">
        <v>303</v>
      </c>
      <c r="I168" s="2275"/>
      <c r="J168" s="2275"/>
      <c r="K168" s="2275"/>
      <c r="L168" s="2275"/>
      <c r="M168" s="2275"/>
      <c r="N168" s="2275"/>
      <c r="O168" s="2275"/>
      <c r="P168" s="2282">
        <v>0</v>
      </c>
      <c r="Q168" s="2283"/>
      <c r="R168" s="2283"/>
      <c r="S168" s="2283"/>
      <c r="T168" s="2284">
        <f>ROUND(IPMT(($AA$3%+0.35%)/11,1,$D$171-$D$160+1,$P$172-(SUM($P$4:P167)))*-1,2)</f>
        <v>0</v>
      </c>
      <c r="U168" s="2284"/>
      <c r="V168" s="2284"/>
      <c r="W168" s="2284"/>
    </row>
    <row r="169" spans="1:53" ht="14.1" customHeight="1">
      <c r="A169" s="2280">
        <v>70</v>
      </c>
      <c r="B169" s="2281"/>
      <c r="C169" s="2281"/>
      <c r="D169" s="2275">
        <f t="shared" si="13"/>
        <v>2027</v>
      </c>
      <c r="E169" s="2275"/>
      <c r="F169" s="2275"/>
      <c r="G169" s="2275"/>
      <c r="H169" s="2275" t="s">
        <v>304</v>
      </c>
      <c r="I169" s="2275"/>
      <c r="J169" s="2275"/>
      <c r="K169" s="2275"/>
      <c r="L169" s="2275"/>
      <c r="M169" s="2275"/>
      <c r="N169" s="2275"/>
      <c r="O169" s="2275"/>
      <c r="P169" s="2282">
        <v>0</v>
      </c>
      <c r="Q169" s="2283"/>
      <c r="R169" s="2283"/>
      <c r="S169" s="2283"/>
      <c r="T169" s="2284">
        <f>ROUND(IPMT(($AA$3%+0.35%)/11,1,$D$171-$D$160+1,$P$172-(SUM($P$4:P168)))*-1,2)</f>
        <v>0</v>
      </c>
      <c r="U169" s="2284"/>
      <c r="V169" s="2284"/>
      <c r="W169" s="2284"/>
    </row>
    <row r="170" spans="1:53" s="475" customFormat="1" ht="14.1" customHeight="1">
      <c r="A170" s="2311">
        <v>71</v>
      </c>
      <c r="B170" s="2312"/>
      <c r="C170" s="2312"/>
      <c r="D170" s="2313">
        <f t="shared" si="13"/>
        <v>2027</v>
      </c>
      <c r="E170" s="2313"/>
      <c r="F170" s="2313"/>
      <c r="G170" s="2313"/>
      <c r="H170" s="2313" t="s">
        <v>305</v>
      </c>
      <c r="I170" s="2313"/>
      <c r="J170" s="2313"/>
      <c r="K170" s="2313"/>
      <c r="L170" s="2313"/>
      <c r="M170" s="2313"/>
      <c r="N170" s="2313"/>
      <c r="O170" s="2313"/>
      <c r="P170" s="2314">
        <v>0</v>
      </c>
      <c r="Q170" s="2315"/>
      <c r="R170" s="2315"/>
      <c r="S170" s="2315"/>
      <c r="T170" s="2316">
        <f>ROUND(IPMT(($AA$3%+0.35%)/11,1,$D$171-$D$160+1,$P$172-(SUM($P$4:P169)))*-1,2)</f>
        <v>0</v>
      </c>
      <c r="U170" s="2316"/>
      <c r="V170" s="2316"/>
      <c r="W170" s="2316"/>
    </row>
    <row r="171" spans="1:53" ht="14.1" customHeight="1">
      <c r="A171" s="2273">
        <v>72</v>
      </c>
      <c r="B171" s="2274"/>
      <c r="C171" s="2274"/>
      <c r="D171" s="2276">
        <f t="shared" si="13"/>
        <v>2027</v>
      </c>
      <c r="E171" s="2276"/>
      <c r="F171" s="2276"/>
      <c r="G171" s="2276"/>
      <c r="H171" s="2276" t="s">
        <v>306</v>
      </c>
      <c r="I171" s="2276"/>
      <c r="J171" s="2276"/>
      <c r="K171" s="2276"/>
      <c r="L171" s="2276"/>
      <c r="M171" s="2276"/>
      <c r="N171" s="2276"/>
      <c r="O171" s="2276"/>
      <c r="P171" s="2277">
        <v>0</v>
      </c>
      <c r="Q171" s="2278"/>
      <c r="R171" s="2278"/>
      <c r="S171" s="2278"/>
      <c r="T171" s="2279">
        <f>ROUND(IPMT(($AA$3%+0.35%)/11,1,$D$171-$D$160+1,$P$172-(SUM($P$4:P170)))*-1,2)</f>
        <v>0</v>
      </c>
      <c r="U171" s="2279"/>
      <c r="V171" s="2279"/>
      <c r="W171" s="2279"/>
      <c r="Y171" s="472">
        <f>SUM(T160:W171)</f>
        <v>0</v>
      </c>
    </row>
    <row r="172" spans="1:53" ht="14.1" customHeight="1">
      <c r="A172" s="2285" t="s">
        <v>307</v>
      </c>
      <c r="B172" s="2286"/>
      <c r="C172" s="2286"/>
      <c r="D172" s="2286"/>
      <c r="E172" s="2286"/>
      <c r="F172" s="2286"/>
      <c r="G172" s="2286"/>
      <c r="H172" s="2286"/>
      <c r="I172" s="2286"/>
      <c r="J172" s="2286"/>
      <c r="K172" s="2286"/>
      <c r="L172" s="2286"/>
      <c r="M172" s="2286"/>
      <c r="N172" s="2286"/>
      <c r="O172" s="2287"/>
      <c r="P172" s="2288">
        <f>SUM(P4:P171)</f>
        <v>0</v>
      </c>
      <c r="Q172" s="2289"/>
      <c r="R172" s="2289"/>
      <c r="S172" s="2290"/>
      <c r="T172" s="2291">
        <f>SUM(T4:T171)</f>
        <v>0</v>
      </c>
      <c r="U172" s="2292"/>
      <c r="V172" s="2289"/>
      <c r="W172" s="2290"/>
    </row>
    <row r="173" spans="1:53">
      <c r="A173" s="2293"/>
      <c r="B173" s="2293"/>
      <c r="C173" s="2293"/>
      <c r="D173" s="2293"/>
      <c r="E173" s="2293"/>
      <c r="F173" s="2293"/>
      <c r="G173" s="2293"/>
      <c r="H173" s="2293"/>
      <c r="I173" s="2293"/>
      <c r="J173" s="2293"/>
      <c r="K173" s="2293"/>
      <c r="L173" s="2293"/>
      <c r="M173" s="2293"/>
      <c r="N173" s="2293"/>
      <c r="O173" s="2293"/>
      <c r="P173" s="2293"/>
      <c r="Q173" s="2293"/>
      <c r="R173" s="2293"/>
      <c r="S173" s="2293"/>
      <c r="T173" s="2293"/>
      <c r="U173" s="2293"/>
      <c r="V173" s="2293"/>
      <c r="W173" s="2293"/>
      <c r="Y173" s="470"/>
      <c r="Z173" s="470"/>
      <c r="AA173" s="470"/>
      <c r="AB173" s="470"/>
      <c r="AC173" s="470"/>
      <c r="AD173" s="470"/>
      <c r="AE173" s="470"/>
      <c r="AF173" s="470"/>
      <c r="AG173" s="470"/>
      <c r="AH173" s="470"/>
      <c r="AI173" s="470"/>
      <c r="AJ173" s="470"/>
      <c r="AK173" s="470"/>
      <c r="AL173" s="470"/>
      <c r="AM173" s="470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  <c r="AX173" s="470"/>
      <c r="AY173" s="470"/>
      <c r="AZ173" s="470"/>
      <c r="BA173" s="470"/>
    </row>
    <row r="174" spans="1:53" ht="9" customHeight="1">
      <c r="Y174" s="470"/>
      <c r="Z174" s="470"/>
      <c r="AA174" s="470"/>
      <c r="AB174" s="470"/>
      <c r="AC174" s="470"/>
      <c r="AD174" s="470"/>
      <c r="AE174" s="470"/>
      <c r="AF174" s="470"/>
      <c r="AG174" s="470"/>
      <c r="AH174" s="470"/>
      <c r="AI174" s="470"/>
      <c r="AJ174" s="470"/>
      <c r="AK174" s="470"/>
      <c r="AL174" s="470"/>
      <c r="AM174" s="470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  <c r="AX174" s="470"/>
      <c r="AY174" s="470"/>
      <c r="AZ174" s="470"/>
      <c r="BA174" s="470"/>
    </row>
    <row r="175" spans="1:53" ht="9" customHeight="1">
      <c r="Y175" s="470"/>
      <c r="Z175" s="470"/>
      <c r="AA175" s="470"/>
      <c r="AB175" s="470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  <c r="AX175" s="470"/>
      <c r="AY175" s="470"/>
      <c r="AZ175" s="470"/>
      <c r="BA175" s="470"/>
    </row>
    <row r="176" spans="1:53">
      <c r="Y176" s="470"/>
      <c r="Z176" s="470"/>
      <c r="AA176" s="470"/>
      <c r="AB176" s="470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  <c r="AV176" s="470"/>
      <c r="AW176" s="470"/>
      <c r="AX176" s="470"/>
      <c r="AY176" s="470"/>
      <c r="AZ176" s="470"/>
      <c r="BA176" s="470"/>
    </row>
    <row r="177" spans="25:53"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  <c r="AP177" s="470"/>
      <c r="AQ177" s="470"/>
      <c r="AR177" s="470"/>
      <c r="AS177" s="470"/>
      <c r="AT177" s="470"/>
      <c r="AU177" s="470"/>
      <c r="AV177" s="470"/>
      <c r="AW177" s="470"/>
      <c r="AX177" s="470"/>
      <c r="AY177" s="470"/>
      <c r="AZ177" s="470"/>
      <c r="BA177" s="470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8"/>
  <sheetViews>
    <sheetView topLeftCell="F64" workbookViewId="0">
      <selection activeCell="Q83" sqref="Q83:Q85"/>
    </sheetView>
  </sheetViews>
  <sheetFormatPr defaultColWidth="9.140625" defaultRowHeight="9.75" customHeight="1" zeroHeight="1"/>
  <cols>
    <col min="1" max="1" width="2.28515625" style="681" customWidth="1"/>
    <col min="2" max="2" width="2" style="682" customWidth="1"/>
    <col min="3" max="3" width="3.85546875" style="682" customWidth="1"/>
    <col min="4" max="4" width="2.5703125" style="682" customWidth="1"/>
    <col min="5" max="5" width="4.7109375" style="682" customWidth="1"/>
    <col min="6" max="6" width="4" style="673" customWidth="1"/>
    <col min="7" max="7" width="4.85546875" style="673" customWidth="1"/>
    <col min="8" max="8" width="2.5703125" style="673" customWidth="1"/>
    <col min="9" max="9" width="2.42578125" style="673" customWidth="1"/>
    <col min="10" max="10" width="4.140625" style="673" customWidth="1"/>
    <col min="11" max="11" width="3.7109375" style="673" customWidth="1"/>
    <col min="12" max="12" width="11.42578125" style="673" customWidth="1"/>
    <col min="13" max="13" width="6.140625" style="673" customWidth="1"/>
    <col min="14" max="14" width="11.85546875" style="673" customWidth="1"/>
    <col min="15" max="15" width="1.85546875" style="673" customWidth="1"/>
    <col min="16" max="16" width="11" style="673" hidden="1" customWidth="1"/>
    <col min="17" max="17" width="10.85546875" style="673" bestFit="1" customWidth="1"/>
    <col min="18" max="19" width="10.85546875" style="673" customWidth="1"/>
    <col min="20" max="21" width="10.7109375" style="673" customWidth="1"/>
    <col min="22" max="22" width="10.5703125" style="673" customWidth="1"/>
    <col min="23" max="23" width="10.7109375" style="673" customWidth="1"/>
    <col min="24" max="24" width="10.85546875" style="673" customWidth="1"/>
    <col min="25" max="25" width="10.5703125" style="673" customWidth="1"/>
    <col min="26" max="26" width="9.42578125" style="673" customWidth="1"/>
    <col min="27" max="27" width="11" style="673" customWidth="1"/>
    <col min="28" max="28" width="2.28515625" style="673" customWidth="1"/>
    <col min="29" max="16384" width="9.140625" style="673"/>
  </cols>
  <sheetData>
    <row r="1" spans="1:28" ht="111" customHeight="1">
      <c r="A1" s="668"/>
      <c r="B1" s="669"/>
      <c r="C1" s="669"/>
      <c r="D1" s="669"/>
      <c r="E1" s="669"/>
      <c r="F1" s="670"/>
      <c r="G1" s="670"/>
      <c r="H1" s="670"/>
      <c r="I1" s="670"/>
      <c r="J1" s="670"/>
      <c r="K1" s="670"/>
      <c r="L1" s="670"/>
      <c r="M1" s="671"/>
      <c r="N1" s="671"/>
      <c r="O1" s="671"/>
      <c r="P1" s="671"/>
      <c r="Q1" s="671"/>
      <c r="R1" s="671"/>
      <c r="S1" s="671"/>
      <c r="T1" s="671"/>
      <c r="U1" s="2379" t="s">
        <v>434</v>
      </c>
      <c r="V1" s="2379"/>
      <c r="W1" s="2379"/>
      <c r="X1" s="2380"/>
      <c r="Y1" s="2380"/>
      <c r="Z1" s="2380"/>
      <c r="AA1" s="672"/>
    </row>
    <row r="2" spans="1:28" ht="6.75" customHeight="1">
      <c r="A2" s="668"/>
      <c r="B2" s="669"/>
      <c r="C2" s="669"/>
      <c r="D2" s="669"/>
      <c r="E2" s="669"/>
      <c r="F2" s="670"/>
      <c r="G2" s="670"/>
      <c r="H2" s="670"/>
      <c r="I2" s="670"/>
      <c r="J2" s="670"/>
      <c r="K2" s="670"/>
      <c r="L2" s="670"/>
      <c r="M2" s="671"/>
      <c r="N2" s="671"/>
      <c r="O2" s="671"/>
      <c r="P2" s="671"/>
      <c r="Q2" s="671"/>
      <c r="R2" s="671"/>
      <c r="S2" s="671"/>
      <c r="T2" s="671"/>
      <c r="U2" s="794"/>
      <c r="V2" s="794"/>
      <c r="W2" s="794"/>
      <c r="X2" s="795"/>
      <c r="Y2" s="795"/>
      <c r="Z2" s="795"/>
      <c r="AA2" s="793"/>
    </row>
    <row r="3" spans="1:28" ht="20.25" customHeight="1">
      <c r="A3" s="2433" t="s">
        <v>136</v>
      </c>
      <c r="B3" s="2433"/>
      <c r="C3" s="2433"/>
      <c r="D3" s="2433"/>
      <c r="E3" s="2433"/>
      <c r="F3" s="2433"/>
      <c r="G3" s="2433"/>
      <c r="H3" s="2433"/>
      <c r="I3" s="2433"/>
      <c r="J3" s="2433"/>
      <c r="K3" s="2433"/>
      <c r="L3" s="2433"/>
      <c r="M3" s="2433"/>
      <c r="N3" s="2433"/>
      <c r="O3" s="2433"/>
      <c r="P3" s="2433"/>
      <c r="Q3" s="2433"/>
      <c r="R3" s="2433"/>
      <c r="S3" s="2433"/>
      <c r="T3" s="2433"/>
      <c r="U3" s="2433"/>
      <c r="V3" s="2433"/>
      <c r="W3" s="2433"/>
      <c r="X3" s="2433"/>
      <c r="Y3" s="2433"/>
      <c r="Z3" s="2433"/>
      <c r="AA3" s="2433"/>
    </row>
    <row r="4" spans="1:28" ht="28.5" customHeight="1">
      <c r="A4" s="2434" t="s">
        <v>169</v>
      </c>
      <c r="B4" s="2434"/>
      <c r="C4" s="2434"/>
      <c r="D4" s="2434"/>
      <c r="E4" s="2434"/>
      <c r="F4" s="2434"/>
      <c r="G4" s="2434"/>
      <c r="H4" s="2434"/>
      <c r="I4" s="2434"/>
      <c r="J4" s="2434"/>
      <c r="K4" s="2434"/>
      <c r="L4" s="2434"/>
      <c r="M4" s="2434"/>
      <c r="N4" s="2434"/>
      <c r="O4" s="2434"/>
      <c r="P4" s="2434"/>
      <c r="Q4" s="2434"/>
      <c r="R4" s="2434"/>
      <c r="S4" s="2434"/>
      <c r="T4" s="2434"/>
      <c r="U4" s="2434"/>
      <c r="V4" s="2434"/>
      <c r="W4" s="2434"/>
      <c r="X4" s="2434"/>
      <c r="Y4" s="2434"/>
      <c r="Z4" s="2434"/>
      <c r="AA4" s="2434"/>
    </row>
    <row r="5" spans="1:28" ht="10.5" customHeight="1">
      <c r="A5" s="796"/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36"/>
    </row>
    <row r="6" spans="1:28" ht="28.5" customHeight="1" thickBot="1">
      <c r="A6" s="796"/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</row>
    <row r="7" spans="1:28" ht="10.5" thickTop="1">
      <c r="A7" s="2435" t="s">
        <v>138</v>
      </c>
      <c r="B7" s="2439" t="s">
        <v>101</v>
      </c>
      <c r="C7" s="2439"/>
      <c r="D7" s="2439" t="s">
        <v>102</v>
      </c>
      <c r="E7" s="2439"/>
      <c r="F7" s="2439" t="s">
        <v>103</v>
      </c>
      <c r="G7" s="2439"/>
      <c r="H7" s="2439"/>
      <c r="I7" s="2439"/>
      <c r="J7" s="2441" t="s">
        <v>104</v>
      </c>
      <c r="K7" s="2442"/>
      <c r="L7" s="2447" t="s">
        <v>105</v>
      </c>
      <c r="M7" s="2441" t="s">
        <v>106</v>
      </c>
      <c r="N7" s="2449"/>
      <c r="O7" s="2449"/>
      <c r="P7" s="2450"/>
      <c r="Q7" s="2450"/>
      <c r="R7" s="2450"/>
      <c r="S7" s="2450"/>
      <c r="T7" s="2450"/>
      <c r="U7" s="2450"/>
      <c r="V7" s="2450"/>
      <c r="W7" s="2450"/>
      <c r="X7" s="2450"/>
      <c r="Y7" s="2450"/>
      <c r="Z7" s="2450"/>
      <c r="AA7" s="2451"/>
    </row>
    <row r="8" spans="1:28">
      <c r="A8" s="2436"/>
      <c r="B8" s="2440"/>
      <c r="C8" s="2440"/>
      <c r="D8" s="2440"/>
      <c r="E8" s="2440"/>
      <c r="F8" s="2440"/>
      <c r="G8" s="2440"/>
      <c r="H8" s="2440"/>
      <c r="I8" s="2440"/>
      <c r="J8" s="2443"/>
      <c r="K8" s="2444"/>
      <c r="L8" s="2448"/>
      <c r="M8" s="2452"/>
      <c r="N8" s="2453"/>
      <c r="O8" s="2453"/>
      <c r="P8" s="2454"/>
      <c r="Q8" s="2454"/>
      <c r="R8" s="2454"/>
      <c r="S8" s="2454"/>
      <c r="T8" s="2454"/>
      <c r="U8" s="2454"/>
      <c r="V8" s="2454"/>
      <c r="W8" s="2454"/>
      <c r="X8" s="2454"/>
      <c r="Y8" s="2454"/>
      <c r="Z8" s="2454"/>
      <c r="AA8" s="2455"/>
    </row>
    <row r="9" spans="1:28">
      <c r="A9" s="2436"/>
      <c r="B9" s="2420" t="s">
        <v>107</v>
      </c>
      <c r="C9" s="2421"/>
      <c r="D9" s="2420" t="s">
        <v>108</v>
      </c>
      <c r="E9" s="2421"/>
      <c r="F9" s="2420" t="s">
        <v>109</v>
      </c>
      <c r="G9" s="2424"/>
      <c r="H9" s="2424"/>
      <c r="I9" s="2421"/>
      <c r="J9" s="2443"/>
      <c r="K9" s="2444"/>
      <c r="L9" s="2448"/>
      <c r="M9" s="2456"/>
      <c r="N9" s="2457"/>
      <c r="O9" s="2457"/>
      <c r="P9" s="2457"/>
      <c r="Q9" s="2457"/>
      <c r="R9" s="2457"/>
      <c r="S9" s="2457"/>
      <c r="T9" s="2457"/>
      <c r="U9" s="2457"/>
      <c r="V9" s="2457"/>
      <c r="W9" s="2457"/>
      <c r="X9" s="2457"/>
      <c r="Y9" s="2457"/>
      <c r="Z9" s="2457"/>
      <c r="AA9" s="2458"/>
    </row>
    <row r="10" spans="1:28">
      <c r="A10" s="2436"/>
      <c r="B10" s="2422"/>
      <c r="C10" s="2423"/>
      <c r="D10" s="2422"/>
      <c r="E10" s="2423"/>
      <c r="F10" s="2422"/>
      <c r="G10" s="2425"/>
      <c r="H10" s="2425"/>
      <c r="I10" s="2423"/>
      <c r="J10" s="2443"/>
      <c r="K10" s="2444"/>
      <c r="L10" s="2448"/>
      <c r="M10" s="2426" t="s">
        <v>110</v>
      </c>
      <c r="N10" s="2429" t="s">
        <v>111</v>
      </c>
      <c r="O10" s="674"/>
      <c r="P10" s="2429">
        <v>2012</v>
      </c>
      <c r="Q10" s="2429">
        <v>2013</v>
      </c>
      <c r="R10" s="2417">
        <v>2014</v>
      </c>
      <c r="S10" s="2417">
        <v>2015</v>
      </c>
      <c r="T10" s="2417">
        <v>2016</v>
      </c>
      <c r="U10" s="2417">
        <v>2017</v>
      </c>
      <c r="V10" s="2417">
        <v>2018</v>
      </c>
      <c r="W10" s="2417">
        <v>2019</v>
      </c>
      <c r="X10" s="2417">
        <v>2020</v>
      </c>
      <c r="Y10" s="2417">
        <v>2021</v>
      </c>
      <c r="Z10" s="2417">
        <v>2022</v>
      </c>
      <c r="AA10" s="2459">
        <v>2023</v>
      </c>
    </row>
    <row r="11" spans="1:28">
      <c r="A11" s="2437"/>
      <c r="B11" s="2462" t="s">
        <v>114</v>
      </c>
      <c r="C11" s="2463"/>
      <c r="D11" s="2463"/>
      <c r="E11" s="2463"/>
      <c r="F11" s="2463"/>
      <c r="G11" s="2463"/>
      <c r="H11" s="2463"/>
      <c r="I11" s="2464"/>
      <c r="J11" s="2443"/>
      <c r="K11" s="2444"/>
      <c r="L11" s="2448"/>
      <c r="M11" s="2427"/>
      <c r="N11" s="2430"/>
      <c r="O11" s="675"/>
      <c r="P11" s="2430"/>
      <c r="Q11" s="2430"/>
      <c r="R11" s="2418"/>
      <c r="S11" s="2418"/>
      <c r="T11" s="2418"/>
      <c r="U11" s="2418"/>
      <c r="V11" s="2418"/>
      <c r="W11" s="2418"/>
      <c r="X11" s="2418"/>
      <c r="Y11" s="2418"/>
      <c r="Z11" s="2418"/>
      <c r="AA11" s="2460"/>
    </row>
    <row r="12" spans="1:28">
      <c r="A12" s="2437"/>
      <c r="B12" s="2443"/>
      <c r="C12" s="2465"/>
      <c r="D12" s="2465"/>
      <c r="E12" s="2465"/>
      <c r="F12" s="2465"/>
      <c r="G12" s="2465"/>
      <c r="H12" s="2465"/>
      <c r="I12" s="2444"/>
      <c r="J12" s="2445"/>
      <c r="K12" s="2446"/>
      <c r="L12" s="2448"/>
      <c r="M12" s="2427"/>
      <c r="N12" s="2430"/>
      <c r="O12" s="675"/>
      <c r="P12" s="2430"/>
      <c r="Q12" s="2430"/>
      <c r="R12" s="2418"/>
      <c r="S12" s="2418"/>
      <c r="T12" s="2418"/>
      <c r="U12" s="2418"/>
      <c r="V12" s="2418"/>
      <c r="W12" s="2418"/>
      <c r="X12" s="2418"/>
      <c r="Y12" s="2418"/>
      <c r="Z12" s="2418"/>
      <c r="AA12" s="2460"/>
    </row>
    <row r="13" spans="1:28">
      <c r="A13" s="2437"/>
      <c r="B13" s="2443"/>
      <c r="C13" s="2465"/>
      <c r="D13" s="2465"/>
      <c r="E13" s="2465"/>
      <c r="F13" s="2465"/>
      <c r="G13" s="2465"/>
      <c r="H13" s="2465"/>
      <c r="I13" s="2444"/>
      <c r="J13" s="2467" t="s">
        <v>115</v>
      </c>
      <c r="K13" s="2467" t="s">
        <v>116</v>
      </c>
      <c r="L13" s="2469" t="s">
        <v>368</v>
      </c>
      <c r="M13" s="2427"/>
      <c r="N13" s="2430"/>
      <c r="O13" s="675"/>
      <c r="P13" s="2430"/>
      <c r="Q13" s="2430"/>
      <c r="R13" s="2418"/>
      <c r="S13" s="2418"/>
      <c r="T13" s="2418"/>
      <c r="U13" s="2418"/>
      <c r="V13" s="2418"/>
      <c r="W13" s="2418"/>
      <c r="X13" s="2418"/>
      <c r="Y13" s="2418"/>
      <c r="Z13" s="2418"/>
      <c r="AA13" s="2460"/>
    </row>
    <row r="14" spans="1:28">
      <c r="A14" s="2437"/>
      <c r="B14" s="2445"/>
      <c r="C14" s="2466"/>
      <c r="D14" s="2466"/>
      <c r="E14" s="2466"/>
      <c r="F14" s="2466"/>
      <c r="G14" s="2466"/>
      <c r="H14" s="2466"/>
      <c r="I14" s="2446"/>
      <c r="J14" s="2467"/>
      <c r="K14" s="2467"/>
      <c r="L14" s="2469"/>
      <c r="M14" s="2427"/>
      <c r="N14" s="2430"/>
      <c r="O14" s="675"/>
      <c r="P14" s="2430"/>
      <c r="Q14" s="2430"/>
      <c r="R14" s="2418"/>
      <c r="S14" s="2418"/>
      <c r="T14" s="2418"/>
      <c r="U14" s="2418"/>
      <c r="V14" s="2418"/>
      <c r="W14" s="2418"/>
      <c r="X14" s="2418"/>
      <c r="Y14" s="2418"/>
      <c r="Z14" s="2418"/>
      <c r="AA14" s="2460"/>
    </row>
    <row r="15" spans="1:28">
      <c r="A15" s="2437"/>
      <c r="B15" s="2462" t="s">
        <v>118</v>
      </c>
      <c r="C15" s="2463"/>
      <c r="D15" s="2463"/>
      <c r="E15" s="2463"/>
      <c r="F15" s="2463"/>
      <c r="G15" s="2463"/>
      <c r="H15" s="2463"/>
      <c r="I15" s="2464"/>
      <c r="J15" s="2467"/>
      <c r="K15" s="2467"/>
      <c r="L15" s="2469"/>
      <c r="M15" s="2427"/>
      <c r="N15" s="2430"/>
      <c r="O15" s="675"/>
      <c r="P15" s="2430"/>
      <c r="Q15" s="2430"/>
      <c r="R15" s="2418"/>
      <c r="S15" s="2418"/>
      <c r="T15" s="2418"/>
      <c r="U15" s="2418"/>
      <c r="V15" s="2418"/>
      <c r="W15" s="2418"/>
      <c r="X15" s="2418"/>
      <c r="Y15" s="2418"/>
      <c r="Z15" s="2418"/>
      <c r="AA15" s="2460"/>
    </row>
    <row r="16" spans="1:28">
      <c r="A16" s="2437"/>
      <c r="B16" s="2443"/>
      <c r="C16" s="2465"/>
      <c r="D16" s="2465"/>
      <c r="E16" s="2465"/>
      <c r="F16" s="2465"/>
      <c r="G16" s="2465"/>
      <c r="H16" s="2465"/>
      <c r="I16" s="2444"/>
      <c r="J16" s="2467"/>
      <c r="K16" s="2467"/>
      <c r="L16" s="2469"/>
      <c r="M16" s="2427"/>
      <c r="N16" s="2430"/>
      <c r="O16" s="675"/>
      <c r="P16" s="2430"/>
      <c r="Q16" s="2430"/>
      <c r="R16" s="2418"/>
      <c r="S16" s="2418"/>
      <c r="T16" s="2418"/>
      <c r="U16" s="2418"/>
      <c r="V16" s="2418"/>
      <c r="W16" s="2418"/>
      <c r="X16" s="2418"/>
      <c r="Y16" s="2418"/>
      <c r="Z16" s="2418"/>
      <c r="AA16" s="2460"/>
    </row>
    <row r="17" spans="1:27">
      <c r="A17" s="2437"/>
      <c r="B17" s="2443"/>
      <c r="C17" s="2465"/>
      <c r="D17" s="2465"/>
      <c r="E17" s="2465"/>
      <c r="F17" s="2465"/>
      <c r="G17" s="2465"/>
      <c r="H17" s="2465"/>
      <c r="I17" s="2444"/>
      <c r="J17" s="2467"/>
      <c r="K17" s="2467"/>
      <c r="L17" s="2469"/>
      <c r="M17" s="2427"/>
      <c r="N17" s="2430"/>
      <c r="O17" s="675"/>
      <c r="P17" s="2430"/>
      <c r="Q17" s="2430"/>
      <c r="R17" s="2418"/>
      <c r="S17" s="2418"/>
      <c r="T17" s="2418"/>
      <c r="U17" s="2418"/>
      <c r="V17" s="2418"/>
      <c r="W17" s="2418"/>
      <c r="X17" s="2418"/>
      <c r="Y17" s="2418"/>
      <c r="Z17" s="2418"/>
      <c r="AA17" s="2460"/>
    </row>
    <row r="18" spans="1:27" ht="10.5" thickBot="1">
      <c r="A18" s="2438"/>
      <c r="B18" s="2471"/>
      <c r="C18" s="2472"/>
      <c r="D18" s="2472"/>
      <c r="E18" s="2472"/>
      <c r="F18" s="2472"/>
      <c r="G18" s="2472"/>
      <c r="H18" s="2472"/>
      <c r="I18" s="2473"/>
      <c r="J18" s="2468"/>
      <c r="K18" s="2468"/>
      <c r="L18" s="2470"/>
      <c r="M18" s="2428"/>
      <c r="N18" s="2431"/>
      <c r="O18" s="676"/>
      <c r="P18" s="2432"/>
      <c r="Q18" s="2432"/>
      <c r="R18" s="2419"/>
      <c r="S18" s="2419"/>
      <c r="T18" s="2419"/>
      <c r="U18" s="2419"/>
      <c r="V18" s="2419"/>
      <c r="W18" s="2419"/>
      <c r="X18" s="2419"/>
      <c r="Y18" s="2419"/>
      <c r="Z18" s="2419"/>
      <c r="AA18" s="2461"/>
    </row>
    <row r="19" spans="1:27" ht="13.5" customHeight="1" thickTop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2.25" customHeight="1" thickBot="1">
      <c r="A20" s="23"/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679"/>
      <c r="M20" s="680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0.5" thickTop="1">
      <c r="A21" s="2404">
        <v>1</v>
      </c>
      <c r="B21" s="2409" t="s">
        <v>101</v>
      </c>
      <c r="C21" s="2410"/>
      <c r="D21" s="2410">
        <v>757</v>
      </c>
      <c r="E21" s="2410"/>
      <c r="F21" s="1482" t="s">
        <v>171</v>
      </c>
      <c r="G21" s="1482"/>
      <c r="H21" s="1482"/>
      <c r="I21" s="1482"/>
      <c r="J21" s="2392">
        <v>2008</v>
      </c>
      <c r="K21" s="2392">
        <v>2021</v>
      </c>
      <c r="L21" s="2411">
        <v>11667000</v>
      </c>
      <c r="M21" s="2412" t="s">
        <v>120</v>
      </c>
      <c r="N21" s="2382">
        <f>SUM(N25:N32)</f>
        <v>9206354.0799999982</v>
      </c>
      <c r="O21" s="2392" t="s">
        <v>112</v>
      </c>
      <c r="P21" s="2382">
        <f t="shared" ref="P21:Z21" si="0">SUM(P25:P32)</f>
        <v>0</v>
      </c>
      <c r="Q21" s="2382">
        <f t="shared" si="0"/>
        <v>1022154.76</v>
      </c>
      <c r="R21" s="2382">
        <f t="shared" si="0"/>
        <v>1022154.76</v>
      </c>
      <c r="S21" s="2382">
        <f t="shared" si="0"/>
        <v>1022154.76</v>
      </c>
      <c r="T21" s="2382">
        <f t="shared" si="0"/>
        <v>1022154.76</v>
      </c>
      <c r="U21" s="2382">
        <f t="shared" si="0"/>
        <v>1022154.76</v>
      </c>
      <c r="V21" s="2382">
        <f t="shared" si="0"/>
        <v>1022154.76</v>
      </c>
      <c r="W21" s="2382">
        <f t="shared" si="0"/>
        <v>1022154.76</v>
      </c>
      <c r="X21" s="2382">
        <f t="shared" si="0"/>
        <v>1022154.76</v>
      </c>
      <c r="Y21" s="2382">
        <f>SUM(Y25:Y32)</f>
        <v>1029116</v>
      </c>
      <c r="Z21" s="2382">
        <f t="shared" si="0"/>
        <v>0</v>
      </c>
      <c r="AA21" s="2393" t="s">
        <v>232</v>
      </c>
    </row>
    <row r="22" spans="1:27">
      <c r="A22" s="2405"/>
      <c r="B22" s="2359"/>
      <c r="C22" s="2360"/>
      <c r="D22" s="2360"/>
      <c r="E22" s="2360"/>
      <c r="F22" s="1483"/>
      <c r="G22" s="1483"/>
      <c r="H22" s="1483"/>
      <c r="I22" s="1483"/>
      <c r="J22" s="2324"/>
      <c r="K22" s="2324"/>
      <c r="L22" s="2343"/>
      <c r="M22" s="2345"/>
      <c r="N22" s="2331"/>
      <c r="O22" s="2324"/>
      <c r="P22" s="2331"/>
      <c r="Q22" s="2331"/>
      <c r="R22" s="2331"/>
      <c r="S22" s="2331"/>
      <c r="T22" s="2331"/>
      <c r="U22" s="2331"/>
      <c r="V22" s="2331"/>
      <c r="W22" s="2331"/>
      <c r="X22" s="2331"/>
      <c r="Y22" s="2331"/>
      <c r="Z22" s="2331"/>
      <c r="AA22" s="2394"/>
    </row>
    <row r="23" spans="1:27">
      <c r="A23" s="2405"/>
      <c r="B23" s="2349" t="s">
        <v>107</v>
      </c>
      <c r="C23" s="2350"/>
      <c r="D23" s="2350">
        <v>75704</v>
      </c>
      <c r="E23" s="2350"/>
      <c r="F23" s="1483" t="s">
        <v>172</v>
      </c>
      <c r="G23" s="1483"/>
      <c r="H23" s="1483"/>
      <c r="I23" s="1483"/>
      <c r="J23" s="2324"/>
      <c r="K23" s="2324"/>
      <c r="L23" s="2343"/>
      <c r="M23" s="2345"/>
      <c r="N23" s="2331"/>
      <c r="O23" s="2324"/>
      <c r="P23" s="2331"/>
      <c r="Q23" s="2331"/>
      <c r="R23" s="2331"/>
      <c r="S23" s="2331"/>
      <c r="T23" s="2331"/>
      <c r="U23" s="2331"/>
      <c r="V23" s="2331"/>
      <c r="W23" s="2331"/>
      <c r="X23" s="2331"/>
      <c r="Y23" s="2331"/>
      <c r="Z23" s="2331"/>
      <c r="AA23" s="2394"/>
    </row>
    <row r="24" spans="1:27">
      <c r="A24" s="2405"/>
      <c r="B24" s="2351"/>
      <c r="C24" s="2323"/>
      <c r="D24" s="2323"/>
      <c r="E24" s="2323"/>
      <c r="F24" s="1483"/>
      <c r="G24" s="1483"/>
      <c r="H24" s="1483"/>
      <c r="I24" s="1483"/>
      <c r="J24" s="2324"/>
      <c r="K24" s="2324"/>
      <c r="L24" s="2343"/>
      <c r="M24" s="2345"/>
      <c r="N24" s="2331"/>
      <c r="O24" s="2375"/>
      <c r="P24" s="2331"/>
      <c r="Q24" s="2331"/>
      <c r="R24" s="2331"/>
      <c r="S24" s="2331"/>
      <c r="T24" s="2331"/>
      <c r="U24" s="2331"/>
      <c r="V24" s="2331"/>
      <c r="W24" s="2331"/>
      <c r="X24" s="2331"/>
      <c r="Y24" s="2331"/>
      <c r="Z24" s="2331"/>
      <c r="AA24" s="2394"/>
    </row>
    <row r="25" spans="1:27">
      <c r="A25" s="2406"/>
      <c r="B25" s="1485" t="s">
        <v>180</v>
      </c>
      <c r="C25" s="1485"/>
      <c r="D25" s="1485"/>
      <c r="E25" s="1485"/>
      <c r="F25" s="1485"/>
      <c r="G25" s="1485"/>
      <c r="H25" s="1485"/>
      <c r="I25" s="1485"/>
      <c r="J25" s="2363"/>
      <c r="K25" s="2324"/>
      <c r="L25" s="2343"/>
      <c r="M25" s="2346">
        <v>75704</v>
      </c>
      <c r="N25" s="2326">
        <f>SUM(P25:Z32)</f>
        <v>9206354.0799999982</v>
      </c>
      <c r="O25" s="2323" t="s">
        <v>112</v>
      </c>
      <c r="P25" s="2326">
        <v>0</v>
      </c>
      <c r="Q25" s="2326">
        <v>1022154.76</v>
      </c>
      <c r="R25" s="2326">
        <v>1022154.76</v>
      </c>
      <c r="S25" s="2326">
        <v>1022154.76</v>
      </c>
      <c r="T25" s="2326">
        <v>1022154.76</v>
      </c>
      <c r="U25" s="2326">
        <v>1022154.76</v>
      </c>
      <c r="V25" s="2326">
        <v>1022154.76</v>
      </c>
      <c r="W25" s="2326">
        <v>1022154.76</v>
      </c>
      <c r="X25" s="2326">
        <v>1022154.76</v>
      </c>
      <c r="Y25" s="2326">
        <v>1029116</v>
      </c>
      <c r="Z25" s="2326">
        <v>0</v>
      </c>
      <c r="AA25" s="2395" t="s">
        <v>232</v>
      </c>
    </row>
    <row r="26" spans="1:27">
      <c r="A26" s="2406"/>
      <c r="B26" s="1485"/>
      <c r="C26" s="1485"/>
      <c r="D26" s="1485"/>
      <c r="E26" s="1485"/>
      <c r="F26" s="1485"/>
      <c r="G26" s="1485"/>
      <c r="H26" s="1485"/>
      <c r="I26" s="1485"/>
      <c r="J26" s="2363"/>
      <c r="K26" s="2324"/>
      <c r="L26" s="2343"/>
      <c r="M26" s="2347"/>
      <c r="N26" s="2320"/>
      <c r="O26" s="2324"/>
      <c r="P26" s="2320"/>
      <c r="Q26" s="2320"/>
      <c r="R26" s="2320"/>
      <c r="S26" s="2320"/>
      <c r="T26" s="2320"/>
      <c r="U26" s="2320"/>
      <c r="V26" s="2320"/>
      <c r="W26" s="2320"/>
      <c r="X26" s="2320"/>
      <c r="Y26" s="2320"/>
      <c r="Z26" s="2320"/>
      <c r="AA26" s="2396"/>
    </row>
    <row r="27" spans="1:27">
      <c r="A27" s="2406"/>
      <c r="B27" s="1485"/>
      <c r="C27" s="1485"/>
      <c r="D27" s="1485"/>
      <c r="E27" s="1485"/>
      <c r="F27" s="1485"/>
      <c r="G27" s="1485"/>
      <c r="H27" s="1485"/>
      <c r="I27" s="1485"/>
      <c r="J27" s="2363"/>
      <c r="K27" s="2324"/>
      <c r="L27" s="2336">
        <v>0</v>
      </c>
      <c r="M27" s="2347"/>
      <c r="N27" s="2320"/>
      <c r="O27" s="2324"/>
      <c r="P27" s="2320"/>
      <c r="Q27" s="2320"/>
      <c r="R27" s="2320"/>
      <c r="S27" s="2320"/>
      <c r="T27" s="2320"/>
      <c r="U27" s="2320"/>
      <c r="V27" s="2320"/>
      <c r="W27" s="2320"/>
      <c r="X27" s="2320"/>
      <c r="Y27" s="2320"/>
      <c r="Z27" s="2320"/>
      <c r="AA27" s="2396"/>
    </row>
    <row r="28" spans="1:27" ht="18" customHeight="1">
      <c r="A28" s="2406"/>
      <c r="B28" s="1485"/>
      <c r="C28" s="1485"/>
      <c r="D28" s="1485"/>
      <c r="E28" s="1485"/>
      <c r="F28" s="1485"/>
      <c r="G28" s="1485"/>
      <c r="H28" s="1485"/>
      <c r="I28" s="1485"/>
      <c r="J28" s="2363"/>
      <c r="K28" s="2324"/>
      <c r="L28" s="2336"/>
      <c r="M28" s="2347"/>
      <c r="N28" s="2320"/>
      <c r="O28" s="2324"/>
      <c r="P28" s="2320"/>
      <c r="Q28" s="2320"/>
      <c r="R28" s="2320"/>
      <c r="S28" s="2320"/>
      <c r="T28" s="2320"/>
      <c r="U28" s="2320"/>
      <c r="V28" s="2320"/>
      <c r="W28" s="2320"/>
      <c r="X28" s="2320"/>
      <c r="Y28" s="2320"/>
      <c r="Z28" s="2320"/>
      <c r="AA28" s="2396"/>
    </row>
    <row r="29" spans="1:27">
      <c r="A29" s="2407"/>
      <c r="B29" s="2364" t="s">
        <v>181</v>
      </c>
      <c r="C29" s="2365"/>
      <c r="D29" s="2365"/>
      <c r="E29" s="2365"/>
      <c r="F29" s="2365"/>
      <c r="G29" s="2365"/>
      <c r="H29" s="2365"/>
      <c r="I29" s="2366"/>
      <c r="J29" s="2324"/>
      <c r="K29" s="2324"/>
      <c r="L29" s="2336"/>
      <c r="M29" s="2347"/>
      <c r="N29" s="2320"/>
      <c r="O29" s="2324"/>
      <c r="P29" s="2320"/>
      <c r="Q29" s="2320"/>
      <c r="R29" s="2320"/>
      <c r="S29" s="2320"/>
      <c r="T29" s="2320"/>
      <c r="U29" s="2320"/>
      <c r="V29" s="2320"/>
      <c r="W29" s="2320"/>
      <c r="X29" s="2320"/>
      <c r="Y29" s="2320"/>
      <c r="Z29" s="2320"/>
      <c r="AA29" s="2396"/>
    </row>
    <row r="30" spans="1:27">
      <c r="A30" s="2407"/>
      <c r="B30" s="2364"/>
      <c r="C30" s="2365"/>
      <c r="D30" s="2365"/>
      <c r="E30" s="2365"/>
      <c r="F30" s="2365"/>
      <c r="G30" s="2365"/>
      <c r="H30" s="2365"/>
      <c r="I30" s="2366"/>
      <c r="J30" s="2324"/>
      <c r="K30" s="2324"/>
      <c r="L30" s="2336"/>
      <c r="M30" s="2347"/>
      <c r="N30" s="2320"/>
      <c r="O30" s="2324"/>
      <c r="P30" s="2320"/>
      <c r="Q30" s="2320"/>
      <c r="R30" s="2320"/>
      <c r="S30" s="2320"/>
      <c r="T30" s="2320"/>
      <c r="U30" s="2320"/>
      <c r="V30" s="2320"/>
      <c r="W30" s="2320"/>
      <c r="X30" s="2320"/>
      <c r="Y30" s="2320"/>
      <c r="Z30" s="2320"/>
      <c r="AA30" s="2396"/>
    </row>
    <row r="31" spans="1:27">
      <c r="A31" s="2407"/>
      <c r="B31" s="2364"/>
      <c r="C31" s="2365"/>
      <c r="D31" s="2365"/>
      <c r="E31" s="2365"/>
      <c r="F31" s="2365"/>
      <c r="G31" s="2365"/>
      <c r="H31" s="2365"/>
      <c r="I31" s="2366"/>
      <c r="J31" s="2324"/>
      <c r="K31" s="2324"/>
      <c r="L31" s="2336"/>
      <c r="M31" s="2347"/>
      <c r="N31" s="2320"/>
      <c r="O31" s="2324"/>
      <c r="P31" s="2320"/>
      <c r="Q31" s="2320"/>
      <c r="R31" s="2320"/>
      <c r="S31" s="2320"/>
      <c r="T31" s="2320"/>
      <c r="U31" s="2320"/>
      <c r="V31" s="2320"/>
      <c r="W31" s="2320"/>
      <c r="X31" s="2320"/>
      <c r="Y31" s="2320"/>
      <c r="Z31" s="2320"/>
      <c r="AA31" s="2396"/>
    </row>
    <row r="32" spans="1:27" ht="10.5" thickBot="1">
      <c r="A32" s="2408"/>
      <c r="B32" s="2413"/>
      <c r="C32" s="2414"/>
      <c r="D32" s="2414"/>
      <c r="E32" s="2414"/>
      <c r="F32" s="2414"/>
      <c r="G32" s="2414"/>
      <c r="H32" s="2414"/>
      <c r="I32" s="2415"/>
      <c r="J32" s="2400"/>
      <c r="K32" s="2400"/>
      <c r="L32" s="2416"/>
      <c r="M32" s="2403"/>
      <c r="N32" s="2381"/>
      <c r="O32" s="2400"/>
      <c r="P32" s="2381"/>
      <c r="Q32" s="2381"/>
      <c r="R32" s="2381"/>
      <c r="S32" s="2381"/>
      <c r="T32" s="2381"/>
      <c r="U32" s="2381"/>
      <c r="V32" s="2381"/>
      <c r="W32" s="2381"/>
      <c r="X32" s="2381"/>
      <c r="Y32" s="2381"/>
      <c r="Z32" s="2381"/>
      <c r="AA32" s="2397"/>
    </row>
    <row r="33" spans="1:27" ht="13.5" customHeight="1" thickTop="1">
      <c r="A33" s="23"/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679"/>
      <c r="M33" s="680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.5" customHeight="1" thickBot="1">
      <c r="A34" s="23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679"/>
      <c r="M34" s="680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0.5" thickTop="1">
      <c r="A35" s="2404">
        <v>2</v>
      </c>
      <c r="B35" s="2409" t="s">
        <v>101</v>
      </c>
      <c r="C35" s="2410"/>
      <c r="D35" s="2410">
        <v>757</v>
      </c>
      <c r="E35" s="2410"/>
      <c r="F35" s="1482" t="s">
        <v>171</v>
      </c>
      <c r="G35" s="1482"/>
      <c r="H35" s="1482"/>
      <c r="I35" s="1482"/>
      <c r="J35" s="2392">
        <v>2010</v>
      </c>
      <c r="K35" s="2392">
        <v>2020</v>
      </c>
      <c r="L35" s="2411">
        <v>5589677</v>
      </c>
      <c r="M35" s="2412" t="s">
        <v>120</v>
      </c>
      <c r="N35" s="2382">
        <f>SUM(N39:N46)</f>
        <v>4813377</v>
      </c>
      <c r="O35" s="2392" t="s">
        <v>112</v>
      </c>
      <c r="P35" s="2382">
        <f t="shared" ref="P35:Z35" si="1">SUM(P39:P46)</f>
        <v>0</v>
      </c>
      <c r="Q35" s="2382">
        <f t="shared" si="1"/>
        <v>621040</v>
      </c>
      <c r="R35" s="2382">
        <f t="shared" si="1"/>
        <v>621040</v>
      </c>
      <c r="S35" s="2382">
        <f t="shared" si="1"/>
        <v>621040</v>
      </c>
      <c r="T35" s="2382">
        <f t="shared" si="1"/>
        <v>621040</v>
      </c>
      <c r="U35" s="2382">
        <f t="shared" si="1"/>
        <v>621040</v>
      </c>
      <c r="V35" s="2382">
        <f t="shared" si="1"/>
        <v>621040</v>
      </c>
      <c r="W35" s="2382">
        <f t="shared" si="1"/>
        <v>621040</v>
      </c>
      <c r="X35" s="2382">
        <f t="shared" si="1"/>
        <v>466097</v>
      </c>
      <c r="Y35" s="2382">
        <f t="shared" si="1"/>
        <v>0</v>
      </c>
      <c r="Z35" s="2382">
        <f t="shared" si="1"/>
        <v>0</v>
      </c>
      <c r="AA35" s="2393" t="s">
        <v>232</v>
      </c>
    </row>
    <row r="36" spans="1:27">
      <c r="A36" s="2405"/>
      <c r="B36" s="2359"/>
      <c r="C36" s="2360"/>
      <c r="D36" s="2360"/>
      <c r="E36" s="2360"/>
      <c r="F36" s="1483"/>
      <c r="G36" s="1483"/>
      <c r="H36" s="1483"/>
      <c r="I36" s="1483"/>
      <c r="J36" s="2324"/>
      <c r="K36" s="2324"/>
      <c r="L36" s="2343"/>
      <c r="M36" s="2345"/>
      <c r="N36" s="2331"/>
      <c r="O36" s="2324"/>
      <c r="P36" s="2331"/>
      <c r="Q36" s="2331"/>
      <c r="R36" s="2331"/>
      <c r="S36" s="2331"/>
      <c r="T36" s="2331"/>
      <c r="U36" s="2331"/>
      <c r="V36" s="2331"/>
      <c r="W36" s="2331"/>
      <c r="X36" s="2331"/>
      <c r="Y36" s="2331"/>
      <c r="Z36" s="2331"/>
      <c r="AA36" s="2394"/>
    </row>
    <row r="37" spans="1:27">
      <c r="A37" s="2405"/>
      <c r="B37" s="2349" t="s">
        <v>107</v>
      </c>
      <c r="C37" s="2350"/>
      <c r="D37" s="2350">
        <v>75704</v>
      </c>
      <c r="E37" s="2350"/>
      <c r="F37" s="1483" t="s">
        <v>172</v>
      </c>
      <c r="G37" s="1483"/>
      <c r="H37" s="1483"/>
      <c r="I37" s="1483"/>
      <c r="J37" s="2324"/>
      <c r="K37" s="2324"/>
      <c r="L37" s="2343"/>
      <c r="M37" s="2345"/>
      <c r="N37" s="2331"/>
      <c r="O37" s="2324"/>
      <c r="P37" s="2331"/>
      <c r="Q37" s="2331"/>
      <c r="R37" s="2331"/>
      <c r="S37" s="2331"/>
      <c r="T37" s="2331"/>
      <c r="U37" s="2331"/>
      <c r="V37" s="2331"/>
      <c r="W37" s="2331"/>
      <c r="X37" s="2331"/>
      <c r="Y37" s="2331"/>
      <c r="Z37" s="2331"/>
      <c r="AA37" s="2394"/>
    </row>
    <row r="38" spans="1:27">
      <c r="A38" s="2405"/>
      <c r="B38" s="2351"/>
      <c r="C38" s="2323"/>
      <c r="D38" s="2323"/>
      <c r="E38" s="2323"/>
      <c r="F38" s="1483"/>
      <c r="G38" s="1483"/>
      <c r="H38" s="1483"/>
      <c r="I38" s="1483"/>
      <c r="J38" s="2324"/>
      <c r="K38" s="2324"/>
      <c r="L38" s="2343"/>
      <c r="M38" s="2345"/>
      <c r="N38" s="2331"/>
      <c r="O38" s="2375"/>
      <c r="P38" s="2331"/>
      <c r="Q38" s="2331"/>
      <c r="R38" s="2331"/>
      <c r="S38" s="2331"/>
      <c r="T38" s="2331"/>
      <c r="U38" s="2331"/>
      <c r="V38" s="2331"/>
      <c r="W38" s="2331"/>
      <c r="X38" s="2331"/>
      <c r="Y38" s="2331"/>
      <c r="Z38" s="2331"/>
      <c r="AA38" s="2394"/>
    </row>
    <row r="39" spans="1:27">
      <c r="A39" s="2406"/>
      <c r="B39" s="1485" t="s">
        <v>427</v>
      </c>
      <c r="C39" s="1485"/>
      <c r="D39" s="1485"/>
      <c r="E39" s="1485"/>
      <c r="F39" s="1485"/>
      <c r="G39" s="1485"/>
      <c r="H39" s="1485"/>
      <c r="I39" s="1485"/>
      <c r="J39" s="2363"/>
      <c r="K39" s="2324"/>
      <c r="L39" s="2343"/>
      <c r="M39" s="2346">
        <v>75704</v>
      </c>
      <c r="N39" s="2326">
        <f>SUM(P39:Z46)</f>
        <v>4813377</v>
      </c>
      <c r="O39" s="2323" t="s">
        <v>112</v>
      </c>
      <c r="P39" s="2326">
        <v>0</v>
      </c>
      <c r="Q39" s="2326">
        <v>621040</v>
      </c>
      <c r="R39" s="2326">
        <v>621040</v>
      </c>
      <c r="S39" s="2326">
        <v>621040</v>
      </c>
      <c r="T39" s="2326">
        <v>621040</v>
      </c>
      <c r="U39" s="2326">
        <v>621040</v>
      </c>
      <c r="V39" s="2326">
        <v>621040</v>
      </c>
      <c r="W39" s="2326">
        <v>621040</v>
      </c>
      <c r="X39" s="2326">
        <v>466097</v>
      </c>
      <c r="Y39" s="2326">
        <v>0</v>
      </c>
      <c r="Z39" s="2326">
        <v>0</v>
      </c>
      <c r="AA39" s="2395" t="s">
        <v>232</v>
      </c>
    </row>
    <row r="40" spans="1:27">
      <c r="A40" s="2406"/>
      <c r="B40" s="1485"/>
      <c r="C40" s="1485"/>
      <c r="D40" s="1485"/>
      <c r="E40" s="1485"/>
      <c r="F40" s="1485"/>
      <c r="G40" s="1485"/>
      <c r="H40" s="1485"/>
      <c r="I40" s="1485"/>
      <c r="J40" s="2363"/>
      <c r="K40" s="2324"/>
      <c r="L40" s="2343"/>
      <c r="M40" s="2347"/>
      <c r="N40" s="2320"/>
      <c r="O40" s="2324"/>
      <c r="P40" s="2320"/>
      <c r="Q40" s="2320"/>
      <c r="R40" s="2320"/>
      <c r="S40" s="2320"/>
      <c r="T40" s="2320"/>
      <c r="U40" s="2320"/>
      <c r="V40" s="2320"/>
      <c r="W40" s="2320"/>
      <c r="X40" s="2320"/>
      <c r="Y40" s="2320"/>
      <c r="Z40" s="2320"/>
      <c r="AA40" s="2396"/>
    </row>
    <row r="41" spans="1:27">
      <c r="A41" s="2406"/>
      <c r="B41" s="1485"/>
      <c r="C41" s="1485"/>
      <c r="D41" s="1485"/>
      <c r="E41" s="1485"/>
      <c r="F41" s="1485"/>
      <c r="G41" s="1485"/>
      <c r="H41" s="1485"/>
      <c r="I41" s="1485"/>
      <c r="J41" s="2363"/>
      <c r="K41" s="2324"/>
      <c r="L41" s="2336">
        <v>0</v>
      </c>
      <c r="M41" s="2347"/>
      <c r="N41" s="2320"/>
      <c r="O41" s="2324"/>
      <c r="P41" s="2320"/>
      <c r="Q41" s="2320"/>
      <c r="R41" s="2320"/>
      <c r="S41" s="2320"/>
      <c r="T41" s="2320"/>
      <c r="U41" s="2320"/>
      <c r="V41" s="2320"/>
      <c r="W41" s="2320"/>
      <c r="X41" s="2320"/>
      <c r="Y41" s="2320"/>
      <c r="Z41" s="2320"/>
      <c r="AA41" s="2396"/>
    </row>
    <row r="42" spans="1:27" ht="26.25" customHeight="1">
      <c r="A42" s="2406"/>
      <c r="B42" s="1485"/>
      <c r="C42" s="1485"/>
      <c r="D42" s="1485"/>
      <c r="E42" s="1485"/>
      <c r="F42" s="1485"/>
      <c r="G42" s="1485"/>
      <c r="H42" s="1485"/>
      <c r="I42" s="1485"/>
      <c r="J42" s="2363"/>
      <c r="K42" s="2324"/>
      <c r="L42" s="2336"/>
      <c r="M42" s="2347"/>
      <c r="N42" s="2320"/>
      <c r="O42" s="2324"/>
      <c r="P42" s="2320"/>
      <c r="Q42" s="2320"/>
      <c r="R42" s="2320"/>
      <c r="S42" s="2320"/>
      <c r="T42" s="2320"/>
      <c r="U42" s="2320"/>
      <c r="V42" s="2320"/>
      <c r="W42" s="2320"/>
      <c r="X42" s="2320"/>
      <c r="Y42" s="2320"/>
      <c r="Z42" s="2320"/>
      <c r="AA42" s="2396"/>
    </row>
    <row r="43" spans="1:27">
      <c r="A43" s="2407"/>
      <c r="B43" s="2364" t="s">
        <v>181</v>
      </c>
      <c r="C43" s="2365"/>
      <c r="D43" s="2365"/>
      <c r="E43" s="2365"/>
      <c r="F43" s="2365"/>
      <c r="G43" s="2365"/>
      <c r="H43" s="2365"/>
      <c r="I43" s="2366"/>
      <c r="J43" s="2324"/>
      <c r="K43" s="2324"/>
      <c r="L43" s="2336"/>
      <c r="M43" s="2347"/>
      <c r="N43" s="2320"/>
      <c r="O43" s="2324"/>
      <c r="P43" s="2320"/>
      <c r="Q43" s="2320"/>
      <c r="R43" s="2320"/>
      <c r="S43" s="2320"/>
      <c r="T43" s="2320"/>
      <c r="U43" s="2320"/>
      <c r="V43" s="2320"/>
      <c r="W43" s="2320"/>
      <c r="X43" s="2320"/>
      <c r="Y43" s="2320"/>
      <c r="Z43" s="2320"/>
      <c r="AA43" s="2396"/>
    </row>
    <row r="44" spans="1:27">
      <c r="A44" s="2407"/>
      <c r="B44" s="2364"/>
      <c r="C44" s="2365"/>
      <c r="D44" s="2365"/>
      <c r="E44" s="2365"/>
      <c r="F44" s="2365"/>
      <c r="G44" s="2365"/>
      <c r="H44" s="2365"/>
      <c r="I44" s="2366"/>
      <c r="J44" s="2324"/>
      <c r="K44" s="2324"/>
      <c r="L44" s="2336"/>
      <c r="M44" s="2347"/>
      <c r="N44" s="2320"/>
      <c r="O44" s="2324"/>
      <c r="P44" s="2320"/>
      <c r="Q44" s="2320"/>
      <c r="R44" s="2320"/>
      <c r="S44" s="2320"/>
      <c r="T44" s="2320"/>
      <c r="U44" s="2320"/>
      <c r="V44" s="2320"/>
      <c r="W44" s="2320"/>
      <c r="X44" s="2320"/>
      <c r="Y44" s="2320"/>
      <c r="Z44" s="2320"/>
      <c r="AA44" s="2396"/>
    </row>
    <row r="45" spans="1:27">
      <c r="A45" s="2407"/>
      <c r="B45" s="2364"/>
      <c r="C45" s="2365"/>
      <c r="D45" s="2365"/>
      <c r="E45" s="2365"/>
      <c r="F45" s="2365"/>
      <c r="G45" s="2365"/>
      <c r="H45" s="2365"/>
      <c r="I45" s="2366"/>
      <c r="J45" s="2324"/>
      <c r="K45" s="2324"/>
      <c r="L45" s="2336"/>
      <c r="M45" s="2347"/>
      <c r="N45" s="2320"/>
      <c r="O45" s="2324"/>
      <c r="P45" s="2320"/>
      <c r="Q45" s="2320"/>
      <c r="R45" s="2320"/>
      <c r="S45" s="2320"/>
      <c r="T45" s="2320"/>
      <c r="U45" s="2320"/>
      <c r="V45" s="2320"/>
      <c r="W45" s="2320"/>
      <c r="X45" s="2320"/>
      <c r="Y45" s="2320"/>
      <c r="Z45" s="2320"/>
      <c r="AA45" s="2396"/>
    </row>
    <row r="46" spans="1:27" ht="10.5" thickBot="1">
      <c r="A46" s="2408"/>
      <c r="B46" s="2413"/>
      <c r="C46" s="2414"/>
      <c r="D46" s="2414"/>
      <c r="E46" s="2414"/>
      <c r="F46" s="2414"/>
      <c r="G46" s="2414"/>
      <c r="H46" s="2414"/>
      <c r="I46" s="2415"/>
      <c r="J46" s="2400"/>
      <c r="K46" s="2400"/>
      <c r="L46" s="2416"/>
      <c r="M46" s="2403"/>
      <c r="N46" s="2381"/>
      <c r="O46" s="2400"/>
      <c r="P46" s="2381"/>
      <c r="Q46" s="2381"/>
      <c r="R46" s="2381"/>
      <c r="S46" s="2381"/>
      <c r="T46" s="2381"/>
      <c r="U46" s="2381"/>
      <c r="V46" s="2381"/>
      <c r="W46" s="2381"/>
      <c r="X46" s="2381"/>
      <c r="Y46" s="2381"/>
      <c r="Z46" s="2381"/>
      <c r="AA46" s="2397"/>
    </row>
    <row r="47" spans="1:27" ht="13.5" customHeight="1" thickTop="1" thickBot="1">
      <c r="A47" s="23"/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679"/>
      <c r="M47" s="680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3.5" customHeight="1" thickTop="1">
      <c r="A48" s="2404">
        <v>3</v>
      </c>
      <c r="B48" s="2409" t="s">
        <v>101</v>
      </c>
      <c r="C48" s="2410"/>
      <c r="D48" s="2410">
        <v>757</v>
      </c>
      <c r="E48" s="2410"/>
      <c r="F48" s="1482" t="s">
        <v>171</v>
      </c>
      <c r="G48" s="1482"/>
      <c r="H48" s="1482"/>
      <c r="I48" s="1482"/>
      <c r="J48" s="2392">
        <v>2010</v>
      </c>
      <c r="K48" s="2392">
        <v>2021</v>
      </c>
      <c r="L48" s="2411">
        <v>5333000</v>
      </c>
      <c r="M48" s="2412" t="s">
        <v>120</v>
      </c>
      <c r="N48" s="2382">
        <f>SUM(N52:N59)</f>
        <v>4499718.75</v>
      </c>
      <c r="O48" s="2392" t="s">
        <v>112</v>
      </c>
      <c r="P48" s="2382">
        <f t="shared" ref="P48:S48" si="2">SUM(P52:P59)</f>
        <v>0</v>
      </c>
      <c r="Q48" s="2382">
        <f t="shared" si="2"/>
        <v>499969</v>
      </c>
      <c r="R48" s="2382">
        <f t="shared" si="2"/>
        <v>0</v>
      </c>
      <c r="S48" s="2382">
        <f t="shared" si="2"/>
        <v>499968.75</v>
      </c>
      <c r="T48" s="2382">
        <f>SUM(T52:T59)</f>
        <v>666625</v>
      </c>
      <c r="U48" s="2382">
        <f t="shared" ref="U48:Z48" si="3">SUM(U52:U59)</f>
        <v>666625</v>
      </c>
      <c r="V48" s="2382">
        <f t="shared" si="3"/>
        <v>666625</v>
      </c>
      <c r="W48" s="2382">
        <f t="shared" si="3"/>
        <v>666625</v>
      </c>
      <c r="X48" s="2382">
        <f t="shared" si="3"/>
        <v>666625</v>
      </c>
      <c r="Y48" s="2382">
        <f t="shared" si="3"/>
        <v>166656</v>
      </c>
      <c r="Z48" s="2382">
        <f t="shared" si="3"/>
        <v>0</v>
      </c>
      <c r="AA48" s="2393" t="s">
        <v>232</v>
      </c>
    </row>
    <row r="49" spans="1:27" ht="6" customHeight="1">
      <c r="A49" s="2405"/>
      <c r="B49" s="2359"/>
      <c r="C49" s="2360"/>
      <c r="D49" s="2360"/>
      <c r="E49" s="2360"/>
      <c r="F49" s="1483"/>
      <c r="G49" s="1483"/>
      <c r="H49" s="1483"/>
      <c r="I49" s="1483"/>
      <c r="J49" s="2324"/>
      <c r="K49" s="2324"/>
      <c r="L49" s="2343"/>
      <c r="M49" s="2345"/>
      <c r="N49" s="2331"/>
      <c r="O49" s="2324"/>
      <c r="P49" s="2331"/>
      <c r="Q49" s="2331"/>
      <c r="R49" s="2331"/>
      <c r="S49" s="2331"/>
      <c r="T49" s="2331"/>
      <c r="U49" s="2331"/>
      <c r="V49" s="2331"/>
      <c r="W49" s="2331"/>
      <c r="X49" s="2331"/>
      <c r="Y49" s="2331"/>
      <c r="Z49" s="2331"/>
      <c r="AA49" s="2394"/>
    </row>
    <row r="50" spans="1:27" ht="13.5" customHeight="1">
      <c r="A50" s="2405"/>
      <c r="B50" s="2349" t="s">
        <v>107</v>
      </c>
      <c r="C50" s="2350"/>
      <c r="D50" s="2350">
        <v>75704</v>
      </c>
      <c r="E50" s="2350"/>
      <c r="F50" s="1483" t="s">
        <v>172</v>
      </c>
      <c r="G50" s="1483"/>
      <c r="H50" s="1483"/>
      <c r="I50" s="1483"/>
      <c r="J50" s="2324"/>
      <c r="K50" s="2324"/>
      <c r="L50" s="2343"/>
      <c r="M50" s="2345"/>
      <c r="N50" s="2331"/>
      <c r="O50" s="2324"/>
      <c r="P50" s="2331"/>
      <c r="Q50" s="2331"/>
      <c r="R50" s="2331"/>
      <c r="S50" s="2331"/>
      <c r="T50" s="2331"/>
      <c r="U50" s="2331"/>
      <c r="V50" s="2331"/>
      <c r="W50" s="2331"/>
      <c r="X50" s="2331"/>
      <c r="Y50" s="2331"/>
      <c r="Z50" s="2331"/>
      <c r="AA50" s="2394"/>
    </row>
    <row r="51" spans="1:27" ht="8.25" customHeight="1">
      <c r="A51" s="2405"/>
      <c r="B51" s="2351"/>
      <c r="C51" s="2323"/>
      <c r="D51" s="2323"/>
      <c r="E51" s="2323"/>
      <c r="F51" s="1483"/>
      <c r="G51" s="1483"/>
      <c r="H51" s="1483"/>
      <c r="I51" s="1483"/>
      <c r="J51" s="2324"/>
      <c r="K51" s="2324"/>
      <c r="L51" s="2343"/>
      <c r="M51" s="2345"/>
      <c r="N51" s="2331"/>
      <c r="O51" s="2375"/>
      <c r="P51" s="2331"/>
      <c r="Q51" s="2331"/>
      <c r="R51" s="2331"/>
      <c r="S51" s="2331"/>
      <c r="T51" s="2331"/>
      <c r="U51" s="2331"/>
      <c r="V51" s="2331"/>
      <c r="W51" s="2331"/>
      <c r="X51" s="2331"/>
      <c r="Y51" s="2331"/>
      <c r="Z51" s="2331"/>
      <c r="AA51" s="2394"/>
    </row>
    <row r="52" spans="1:27" ht="13.5" customHeight="1">
      <c r="A52" s="2406"/>
      <c r="B52" s="1485" t="s">
        <v>185</v>
      </c>
      <c r="C52" s="1485"/>
      <c r="D52" s="1485"/>
      <c r="E52" s="1485"/>
      <c r="F52" s="1485"/>
      <c r="G52" s="1485"/>
      <c r="H52" s="1485"/>
      <c r="I52" s="1485"/>
      <c r="J52" s="2363"/>
      <c r="K52" s="2324"/>
      <c r="L52" s="2343"/>
      <c r="M52" s="2346">
        <v>75704</v>
      </c>
      <c r="N52" s="2326">
        <f>SUM(P52:Z59)</f>
        <v>4499718.75</v>
      </c>
      <c r="O52" s="2323" t="s">
        <v>112</v>
      </c>
      <c r="P52" s="2326">
        <v>0</v>
      </c>
      <c r="Q52" s="2326">
        <v>499969</v>
      </c>
      <c r="R52" s="2326">
        <v>0</v>
      </c>
      <c r="S52" s="2326">
        <v>499968.75</v>
      </c>
      <c r="T52" s="2326">
        <v>666625</v>
      </c>
      <c r="U52" s="2326">
        <v>666625</v>
      </c>
      <c r="V52" s="2326">
        <v>666625</v>
      </c>
      <c r="W52" s="2326">
        <v>666625</v>
      </c>
      <c r="X52" s="2326">
        <v>666625</v>
      </c>
      <c r="Y52" s="2326">
        <v>166656</v>
      </c>
      <c r="Z52" s="2326">
        <v>0</v>
      </c>
      <c r="AA52" s="2395" t="s">
        <v>232</v>
      </c>
    </row>
    <row r="53" spans="1:27" ht="13.5" customHeight="1">
      <c r="A53" s="2406"/>
      <c r="B53" s="1485"/>
      <c r="C53" s="1485"/>
      <c r="D53" s="1485"/>
      <c r="E53" s="1485"/>
      <c r="F53" s="1485"/>
      <c r="G53" s="1485"/>
      <c r="H53" s="1485"/>
      <c r="I53" s="1485"/>
      <c r="J53" s="2363"/>
      <c r="K53" s="2324"/>
      <c r="L53" s="2343"/>
      <c r="M53" s="2347"/>
      <c r="N53" s="2320"/>
      <c r="O53" s="2324"/>
      <c r="P53" s="2320"/>
      <c r="Q53" s="2320"/>
      <c r="R53" s="2320"/>
      <c r="S53" s="2320"/>
      <c r="T53" s="2320"/>
      <c r="U53" s="2320"/>
      <c r="V53" s="2320"/>
      <c r="W53" s="2320"/>
      <c r="X53" s="2320"/>
      <c r="Y53" s="2320"/>
      <c r="Z53" s="2320"/>
      <c r="AA53" s="2396"/>
    </row>
    <row r="54" spans="1:27" ht="13.5" customHeight="1">
      <c r="A54" s="2406"/>
      <c r="B54" s="1485"/>
      <c r="C54" s="1485"/>
      <c r="D54" s="1485"/>
      <c r="E54" s="1485"/>
      <c r="F54" s="1485"/>
      <c r="G54" s="1485"/>
      <c r="H54" s="1485"/>
      <c r="I54" s="1485"/>
      <c r="J54" s="2363"/>
      <c r="K54" s="2324"/>
      <c r="L54" s="2336">
        <v>0</v>
      </c>
      <c r="M54" s="2347"/>
      <c r="N54" s="2320"/>
      <c r="O54" s="2324"/>
      <c r="P54" s="2320"/>
      <c r="Q54" s="2320"/>
      <c r="R54" s="2320"/>
      <c r="S54" s="2320"/>
      <c r="T54" s="2320"/>
      <c r="U54" s="2320"/>
      <c r="V54" s="2320"/>
      <c r="W54" s="2320"/>
      <c r="X54" s="2320"/>
      <c r="Y54" s="2320"/>
      <c r="Z54" s="2320"/>
      <c r="AA54" s="2396"/>
    </row>
    <row r="55" spans="1:27" ht="11.25" customHeight="1">
      <c r="A55" s="2406"/>
      <c r="B55" s="1485"/>
      <c r="C55" s="1485"/>
      <c r="D55" s="1485"/>
      <c r="E55" s="1485"/>
      <c r="F55" s="1485"/>
      <c r="G55" s="1485"/>
      <c r="H55" s="1485"/>
      <c r="I55" s="1485"/>
      <c r="J55" s="2363"/>
      <c r="K55" s="2324"/>
      <c r="L55" s="2336"/>
      <c r="M55" s="2347"/>
      <c r="N55" s="2320"/>
      <c r="O55" s="2324"/>
      <c r="P55" s="2320"/>
      <c r="Q55" s="2320"/>
      <c r="R55" s="2320"/>
      <c r="S55" s="2320"/>
      <c r="T55" s="2320"/>
      <c r="U55" s="2320"/>
      <c r="V55" s="2320"/>
      <c r="W55" s="2320"/>
      <c r="X55" s="2320"/>
      <c r="Y55" s="2320"/>
      <c r="Z55" s="2320"/>
      <c r="AA55" s="2396"/>
    </row>
    <row r="56" spans="1:27" ht="13.5" customHeight="1">
      <c r="A56" s="2407"/>
      <c r="B56" s="2364" t="s">
        <v>181</v>
      </c>
      <c r="C56" s="2365"/>
      <c r="D56" s="2365"/>
      <c r="E56" s="2365"/>
      <c r="F56" s="2365"/>
      <c r="G56" s="2365"/>
      <c r="H56" s="2365"/>
      <c r="I56" s="2366"/>
      <c r="J56" s="2324"/>
      <c r="K56" s="2324"/>
      <c r="L56" s="2336"/>
      <c r="M56" s="2347"/>
      <c r="N56" s="2320"/>
      <c r="O56" s="2324"/>
      <c r="P56" s="2320"/>
      <c r="Q56" s="2320"/>
      <c r="R56" s="2320"/>
      <c r="S56" s="2320"/>
      <c r="T56" s="2320"/>
      <c r="U56" s="2320"/>
      <c r="V56" s="2320"/>
      <c r="W56" s="2320"/>
      <c r="X56" s="2320"/>
      <c r="Y56" s="2320"/>
      <c r="Z56" s="2320"/>
      <c r="AA56" s="2396"/>
    </row>
    <row r="57" spans="1:27" ht="7.5" customHeight="1">
      <c r="A57" s="2407"/>
      <c r="B57" s="2364"/>
      <c r="C57" s="2365"/>
      <c r="D57" s="2365"/>
      <c r="E57" s="2365"/>
      <c r="F57" s="2365"/>
      <c r="G57" s="2365"/>
      <c r="H57" s="2365"/>
      <c r="I57" s="2366"/>
      <c r="J57" s="2324"/>
      <c r="K57" s="2324"/>
      <c r="L57" s="2336"/>
      <c r="M57" s="2347"/>
      <c r="N57" s="2320"/>
      <c r="O57" s="2324"/>
      <c r="P57" s="2320"/>
      <c r="Q57" s="2320"/>
      <c r="R57" s="2320"/>
      <c r="S57" s="2320"/>
      <c r="T57" s="2320"/>
      <c r="U57" s="2320"/>
      <c r="V57" s="2320"/>
      <c r="W57" s="2320"/>
      <c r="X57" s="2320"/>
      <c r="Y57" s="2320"/>
      <c r="Z57" s="2320"/>
      <c r="AA57" s="2396"/>
    </row>
    <row r="58" spans="1:27" ht="9.75" customHeight="1">
      <c r="A58" s="2407"/>
      <c r="B58" s="2364"/>
      <c r="C58" s="2365"/>
      <c r="D58" s="2365"/>
      <c r="E58" s="2365"/>
      <c r="F58" s="2365"/>
      <c r="G58" s="2365"/>
      <c r="H58" s="2365"/>
      <c r="I58" s="2366"/>
      <c r="J58" s="2324"/>
      <c r="K58" s="2324"/>
      <c r="L58" s="2336"/>
      <c r="M58" s="2347"/>
      <c r="N58" s="2320"/>
      <c r="O58" s="2324"/>
      <c r="P58" s="2320"/>
      <c r="Q58" s="2320"/>
      <c r="R58" s="2320"/>
      <c r="S58" s="2320"/>
      <c r="T58" s="2320"/>
      <c r="U58" s="2320"/>
      <c r="V58" s="2320"/>
      <c r="W58" s="2320"/>
      <c r="X58" s="2320"/>
      <c r="Y58" s="2320"/>
      <c r="Z58" s="2320"/>
      <c r="AA58" s="2396"/>
    </row>
    <row r="59" spans="1:27" ht="9" customHeight="1" thickBot="1">
      <c r="A59" s="2408"/>
      <c r="B59" s="2413"/>
      <c r="C59" s="2414"/>
      <c r="D59" s="2414"/>
      <c r="E59" s="2414"/>
      <c r="F59" s="2414"/>
      <c r="G59" s="2414"/>
      <c r="H59" s="2414"/>
      <c r="I59" s="2415"/>
      <c r="J59" s="2400"/>
      <c r="K59" s="2400"/>
      <c r="L59" s="2416"/>
      <c r="M59" s="2403"/>
      <c r="N59" s="2381"/>
      <c r="O59" s="2400"/>
      <c r="P59" s="2381"/>
      <c r="Q59" s="2381"/>
      <c r="R59" s="2381"/>
      <c r="S59" s="2381"/>
      <c r="T59" s="2381"/>
      <c r="U59" s="2381"/>
      <c r="V59" s="2381"/>
      <c r="W59" s="2381"/>
      <c r="X59" s="2381"/>
      <c r="Y59" s="2381"/>
      <c r="Z59" s="2381"/>
      <c r="AA59" s="2397"/>
    </row>
    <row r="60" spans="1:27" ht="13.5" customHeight="1" thickTop="1" thickBot="1">
      <c r="A60" s="23"/>
      <c r="B60" s="28"/>
      <c r="C60" s="28"/>
      <c r="D60" s="28"/>
      <c r="E60" s="28"/>
      <c r="F60" s="28"/>
      <c r="G60" s="28"/>
      <c r="H60" s="28"/>
      <c r="I60" s="28"/>
      <c r="J60" s="29"/>
      <c r="K60" s="29"/>
      <c r="L60" s="679"/>
      <c r="M60" s="680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3.5" customHeight="1">
      <c r="A61" s="2352">
        <v>4</v>
      </c>
      <c r="B61" s="2357" t="s">
        <v>101</v>
      </c>
      <c r="C61" s="2358"/>
      <c r="D61" s="2358">
        <v>757</v>
      </c>
      <c r="E61" s="2358"/>
      <c r="F61" s="2361" t="s">
        <v>171</v>
      </c>
      <c r="G61" s="2361"/>
      <c r="H61" s="2361"/>
      <c r="I61" s="2361"/>
      <c r="J61" s="2362">
        <v>2012</v>
      </c>
      <c r="K61" s="2362">
        <v>2022</v>
      </c>
      <c r="L61" s="2342">
        <v>11000000</v>
      </c>
      <c r="M61" s="2344" t="s">
        <v>120</v>
      </c>
      <c r="N61" s="2330">
        <f>SUM(N65:N72)</f>
        <v>9808424.4600000009</v>
      </c>
      <c r="O61" s="2362" t="s">
        <v>112</v>
      </c>
      <c r="P61" s="2330">
        <f t="shared" ref="P61:S61" si="4">SUM(P65:P72)</f>
        <v>0</v>
      </c>
      <c r="Q61" s="2330">
        <f t="shared" si="4"/>
        <v>1073000</v>
      </c>
      <c r="R61" s="2330">
        <f t="shared" si="4"/>
        <v>1200981.77</v>
      </c>
      <c r="S61" s="2330">
        <f t="shared" si="4"/>
        <v>1146797.58</v>
      </c>
      <c r="T61" s="2330">
        <f>SUM(T65:T72)</f>
        <v>1092737.07</v>
      </c>
      <c r="U61" s="2330">
        <f t="shared" ref="U61:Z61" si="5">SUM(U65:U72)</f>
        <v>1037860.0900000001</v>
      </c>
      <c r="V61" s="2330">
        <f t="shared" si="5"/>
        <v>985679.94000000006</v>
      </c>
      <c r="W61" s="2330">
        <f t="shared" si="5"/>
        <v>930048.35000000009</v>
      </c>
      <c r="X61" s="2330">
        <f t="shared" si="5"/>
        <v>876297.13</v>
      </c>
      <c r="Y61" s="2330">
        <f t="shared" si="5"/>
        <v>821667.58000000007</v>
      </c>
      <c r="Z61" s="2330">
        <f t="shared" si="5"/>
        <v>643354.94999999995</v>
      </c>
      <c r="AA61" s="2398" t="s">
        <v>232</v>
      </c>
    </row>
    <row r="62" spans="1:27" ht="13.5" customHeight="1">
      <c r="A62" s="2353"/>
      <c r="B62" s="2359"/>
      <c r="C62" s="2360"/>
      <c r="D62" s="2360"/>
      <c r="E62" s="2360"/>
      <c r="F62" s="1483"/>
      <c r="G62" s="1483"/>
      <c r="H62" s="1483"/>
      <c r="I62" s="1483"/>
      <c r="J62" s="2324"/>
      <c r="K62" s="2324"/>
      <c r="L62" s="2343"/>
      <c r="M62" s="2345"/>
      <c r="N62" s="2331"/>
      <c r="O62" s="2324"/>
      <c r="P62" s="2331"/>
      <c r="Q62" s="2331"/>
      <c r="R62" s="2331"/>
      <c r="S62" s="2331"/>
      <c r="T62" s="2331"/>
      <c r="U62" s="2331"/>
      <c r="V62" s="2331"/>
      <c r="W62" s="2331"/>
      <c r="X62" s="2331"/>
      <c r="Y62" s="2331"/>
      <c r="Z62" s="2331"/>
      <c r="AA62" s="2399"/>
    </row>
    <row r="63" spans="1:27" ht="13.5" customHeight="1">
      <c r="A63" s="2353"/>
      <c r="B63" s="2349" t="s">
        <v>107</v>
      </c>
      <c r="C63" s="2350"/>
      <c r="D63" s="2350">
        <v>75704</v>
      </c>
      <c r="E63" s="2350"/>
      <c r="F63" s="1483" t="s">
        <v>172</v>
      </c>
      <c r="G63" s="1483"/>
      <c r="H63" s="1483"/>
      <c r="I63" s="1483"/>
      <c r="J63" s="2324"/>
      <c r="K63" s="2324"/>
      <c r="L63" s="2343"/>
      <c r="M63" s="2345"/>
      <c r="N63" s="2331"/>
      <c r="O63" s="2324"/>
      <c r="P63" s="2331"/>
      <c r="Q63" s="2331"/>
      <c r="R63" s="2331"/>
      <c r="S63" s="2331"/>
      <c r="T63" s="2331"/>
      <c r="U63" s="2331"/>
      <c r="V63" s="2331"/>
      <c r="W63" s="2331"/>
      <c r="X63" s="2331"/>
      <c r="Y63" s="2331"/>
      <c r="Z63" s="2331"/>
      <c r="AA63" s="2399"/>
    </row>
    <row r="64" spans="1:27" ht="8.25" customHeight="1">
      <c r="A64" s="2353"/>
      <c r="B64" s="2351"/>
      <c r="C64" s="2323"/>
      <c r="D64" s="2323"/>
      <c r="E64" s="2323"/>
      <c r="F64" s="1483"/>
      <c r="G64" s="1483"/>
      <c r="H64" s="1483"/>
      <c r="I64" s="1483"/>
      <c r="J64" s="2324"/>
      <c r="K64" s="2324"/>
      <c r="L64" s="2343"/>
      <c r="M64" s="2345"/>
      <c r="N64" s="2331"/>
      <c r="O64" s="2375"/>
      <c r="P64" s="2331"/>
      <c r="Q64" s="2331"/>
      <c r="R64" s="2331"/>
      <c r="S64" s="2331"/>
      <c r="T64" s="2331"/>
      <c r="U64" s="2331"/>
      <c r="V64" s="2331"/>
      <c r="W64" s="2331"/>
      <c r="X64" s="2331"/>
      <c r="Y64" s="2331"/>
      <c r="Z64" s="2331"/>
      <c r="AA64" s="2399"/>
    </row>
    <row r="65" spans="1:27" ht="13.5" customHeight="1">
      <c r="A65" s="2354"/>
      <c r="B65" s="2350" t="s">
        <v>426</v>
      </c>
      <c r="C65" s="2350"/>
      <c r="D65" s="2350"/>
      <c r="E65" s="2350"/>
      <c r="F65" s="2350"/>
      <c r="G65" s="2350"/>
      <c r="H65" s="2350"/>
      <c r="I65" s="2350"/>
      <c r="J65" s="2363"/>
      <c r="K65" s="2324"/>
      <c r="L65" s="2343"/>
      <c r="M65" s="2346">
        <v>75704</v>
      </c>
      <c r="N65" s="2326">
        <f>SUM(Q65:AA69)</f>
        <v>7100000.0000000009</v>
      </c>
      <c r="O65" s="2323" t="s">
        <v>112</v>
      </c>
      <c r="P65" s="2326">
        <v>0</v>
      </c>
      <c r="Q65" s="2326">
        <v>498245.8</v>
      </c>
      <c r="R65" s="2326">
        <v>747368.4</v>
      </c>
      <c r="S65" s="2326">
        <v>747368.4</v>
      </c>
      <c r="T65" s="2326">
        <v>747368.4</v>
      </c>
      <c r="U65" s="2326">
        <v>747368.4</v>
      </c>
      <c r="V65" s="2326">
        <v>747368.4</v>
      </c>
      <c r="W65" s="2326">
        <v>747368.4</v>
      </c>
      <c r="X65" s="2326">
        <v>747368.4</v>
      </c>
      <c r="Y65" s="2326">
        <v>747368.4</v>
      </c>
      <c r="Z65" s="2326">
        <v>622807</v>
      </c>
      <c r="AA65" s="2401" t="s">
        <v>232</v>
      </c>
    </row>
    <row r="66" spans="1:27" ht="13.5" customHeight="1">
      <c r="A66" s="2354"/>
      <c r="B66" s="2350"/>
      <c r="C66" s="2350"/>
      <c r="D66" s="2350"/>
      <c r="E66" s="2350"/>
      <c r="F66" s="2350"/>
      <c r="G66" s="2350"/>
      <c r="H66" s="2350"/>
      <c r="I66" s="2350"/>
      <c r="J66" s="2363"/>
      <c r="K66" s="2324"/>
      <c r="L66" s="2343"/>
      <c r="M66" s="2347"/>
      <c r="N66" s="2475"/>
      <c r="O66" s="2324"/>
      <c r="P66" s="2320"/>
      <c r="Q66" s="1906"/>
      <c r="R66" s="1906"/>
      <c r="S66" s="1906"/>
      <c r="T66" s="1906"/>
      <c r="U66" s="1906"/>
      <c r="V66" s="1906"/>
      <c r="W66" s="1906"/>
      <c r="X66" s="1906"/>
      <c r="Y66" s="1906"/>
      <c r="Z66" s="1906"/>
      <c r="AA66" s="2402"/>
    </row>
    <row r="67" spans="1:27" ht="13.5" customHeight="1">
      <c r="A67" s="2354"/>
      <c r="B67" s="2350"/>
      <c r="C67" s="2350"/>
      <c r="D67" s="2350"/>
      <c r="E67" s="2350"/>
      <c r="F67" s="2350"/>
      <c r="G67" s="2350"/>
      <c r="H67" s="2350"/>
      <c r="I67" s="2350"/>
      <c r="J67" s="2363"/>
      <c r="K67" s="2324"/>
      <c r="L67" s="2336">
        <v>0</v>
      </c>
      <c r="M67" s="2347"/>
      <c r="N67" s="2475"/>
      <c r="O67" s="2324"/>
      <c r="P67" s="2320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2402"/>
    </row>
    <row r="68" spans="1:27" ht="5.25" customHeight="1">
      <c r="A68" s="2354"/>
      <c r="B68" s="2350"/>
      <c r="C68" s="2350"/>
      <c r="D68" s="2350"/>
      <c r="E68" s="2350"/>
      <c r="F68" s="2350"/>
      <c r="G68" s="2350"/>
      <c r="H68" s="2350"/>
      <c r="I68" s="2350"/>
      <c r="J68" s="2363"/>
      <c r="K68" s="2324"/>
      <c r="L68" s="2336"/>
      <c r="M68" s="2347"/>
      <c r="N68" s="2475"/>
      <c r="O68" s="2324"/>
      <c r="P68" s="2320"/>
      <c r="Q68" s="1906"/>
      <c r="R68" s="1906"/>
      <c r="S68" s="1906"/>
      <c r="T68" s="1906"/>
      <c r="U68" s="1906"/>
      <c r="V68" s="1906"/>
      <c r="W68" s="1906"/>
      <c r="X68" s="1906"/>
      <c r="Y68" s="1906"/>
      <c r="Z68" s="1906"/>
      <c r="AA68" s="2402"/>
    </row>
    <row r="69" spans="1:27" ht="13.5" customHeight="1">
      <c r="A69" s="2355"/>
      <c r="B69" s="2364" t="s">
        <v>353</v>
      </c>
      <c r="C69" s="2365"/>
      <c r="D69" s="2365"/>
      <c r="E69" s="2365"/>
      <c r="F69" s="2365"/>
      <c r="G69" s="2365"/>
      <c r="H69" s="2365"/>
      <c r="I69" s="2366"/>
      <c r="J69" s="2324"/>
      <c r="K69" s="2324"/>
      <c r="L69" s="2336"/>
      <c r="M69" s="2347"/>
      <c r="N69" s="2476"/>
      <c r="O69" s="2324"/>
      <c r="P69" s="2320"/>
      <c r="Q69" s="1906"/>
      <c r="R69" s="1906"/>
      <c r="S69" s="1906"/>
      <c r="T69" s="1906"/>
      <c r="U69" s="1906"/>
      <c r="V69" s="1906"/>
      <c r="W69" s="1906"/>
      <c r="X69" s="1906"/>
      <c r="Y69" s="1906"/>
      <c r="Z69" s="1906"/>
      <c r="AA69" s="2402"/>
    </row>
    <row r="70" spans="1:27" ht="12" customHeight="1">
      <c r="A70" s="2355"/>
      <c r="B70" s="2364"/>
      <c r="C70" s="2365"/>
      <c r="D70" s="2365"/>
      <c r="E70" s="2365"/>
      <c r="F70" s="2365"/>
      <c r="G70" s="2365"/>
      <c r="H70" s="2365"/>
      <c r="I70" s="2366"/>
      <c r="J70" s="2324"/>
      <c r="K70" s="2324"/>
      <c r="L70" s="2336"/>
      <c r="M70" s="2347"/>
      <c r="N70" s="2370">
        <f>SUM(Q70:AA72)</f>
        <v>2708424.4600000004</v>
      </c>
      <c r="O70" s="2324"/>
      <c r="P70" s="2320"/>
      <c r="Q70" s="2326">
        <v>574754.19999999995</v>
      </c>
      <c r="R70" s="2326">
        <v>453613.37</v>
      </c>
      <c r="S70" s="2326">
        <v>399429.18</v>
      </c>
      <c r="T70" s="2326">
        <v>345368.67</v>
      </c>
      <c r="U70" s="2326">
        <v>290491.69</v>
      </c>
      <c r="V70" s="2326">
        <v>238311.54</v>
      </c>
      <c r="W70" s="2326">
        <v>182679.95</v>
      </c>
      <c r="X70" s="2326">
        <v>128928.73</v>
      </c>
      <c r="Y70" s="2326">
        <v>74299.179999999993</v>
      </c>
      <c r="Z70" s="2326">
        <v>20547.95</v>
      </c>
      <c r="AA70" s="2474"/>
    </row>
    <row r="71" spans="1:27" ht="12" customHeight="1">
      <c r="A71" s="2355"/>
      <c r="B71" s="2364"/>
      <c r="C71" s="2365"/>
      <c r="D71" s="2365"/>
      <c r="E71" s="2365"/>
      <c r="F71" s="2365"/>
      <c r="G71" s="2365"/>
      <c r="H71" s="2365"/>
      <c r="I71" s="2366"/>
      <c r="J71" s="2324"/>
      <c r="K71" s="2324"/>
      <c r="L71" s="2336"/>
      <c r="M71" s="2347"/>
      <c r="N71" s="2371"/>
      <c r="O71" s="2324"/>
      <c r="P71" s="2320"/>
      <c r="Q71" s="1906"/>
      <c r="R71" s="1906"/>
      <c r="S71" s="1906"/>
      <c r="T71" s="1906"/>
      <c r="U71" s="1906"/>
      <c r="V71" s="1906"/>
      <c r="W71" s="1906"/>
      <c r="X71" s="1906"/>
      <c r="Y71" s="1906"/>
      <c r="Z71" s="1906"/>
      <c r="AA71" s="1906"/>
    </row>
    <row r="72" spans="1:27" ht="3" customHeight="1" thickBot="1">
      <c r="A72" s="2356"/>
      <c r="B72" s="2367"/>
      <c r="C72" s="2368"/>
      <c r="D72" s="2368"/>
      <c r="E72" s="2368"/>
      <c r="F72" s="2368"/>
      <c r="G72" s="2368"/>
      <c r="H72" s="2368"/>
      <c r="I72" s="2369"/>
      <c r="J72" s="2325"/>
      <c r="K72" s="2325"/>
      <c r="L72" s="2337"/>
      <c r="M72" s="2348"/>
      <c r="N72" s="2372"/>
      <c r="O72" s="2325"/>
      <c r="P72" s="2321"/>
      <c r="Q72" s="1907"/>
      <c r="R72" s="1907"/>
      <c r="S72" s="1907"/>
      <c r="T72" s="1907"/>
      <c r="U72" s="1907"/>
      <c r="V72" s="1907"/>
      <c r="W72" s="1907"/>
      <c r="X72" s="1907"/>
      <c r="Y72" s="1907"/>
      <c r="Z72" s="1907"/>
      <c r="AA72" s="1907"/>
    </row>
    <row r="73" spans="1:27" ht="14.25" customHeight="1" thickBot="1">
      <c r="A73" s="809"/>
      <c r="B73" s="810"/>
      <c r="C73" s="810"/>
      <c r="D73" s="810"/>
      <c r="E73" s="810"/>
      <c r="F73" s="810"/>
      <c r="G73" s="810"/>
      <c r="H73" s="810"/>
      <c r="I73" s="810"/>
      <c r="J73" s="817"/>
      <c r="K73" s="817"/>
      <c r="L73" s="821"/>
      <c r="M73" s="817"/>
      <c r="N73" s="818"/>
      <c r="O73" s="817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  <c r="AA73" s="820"/>
    </row>
    <row r="74" spans="1:27" ht="14.25" customHeight="1">
      <c r="A74" s="2352">
        <v>5</v>
      </c>
      <c r="B74" s="2357" t="s">
        <v>101</v>
      </c>
      <c r="C74" s="2358"/>
      <c r="D74" s="2358">
        <v>757</v>
      </c>
      <c r="E74" s="2358"/>
      <c r="F74" s="2361" t="s">
        <v>171</v>
      </c>
      <c r="G74" s="2361"/>
      <c r="H74" s="2361"/>
      <c r="I74" s="2361"/>
      <c r="J74" s="2362">
        <v>2012</v>
      </c>
      <c r="K74" s="2362">
        <v>2023</v>
      </c>
      <c r="L74" s="2342">
        <f>SUM(N74,L80)</f>
        <v>994300</v>
      </c>
      <c r="M74" s="2344" t="s">
        <v>120</v>
      </c>
      <c r="N74" s="2330">
        <f>SUM(N79:N85)</f>
        <v>994300</v>
      </c>
      <c r="O74" s="2362"/>
      <c r="P74" s="2330">
        <f>SUM(P78:P85)</f>
        <v>0</v>
      </c>
      <c r="Q74" s="2330">
        <f t="shared" ref="Q74:AA74" si="6">SUM(Q78:Q85)</f>
        <v>30000</v>
      </c>
      <c r="R74" s="2330">
        <f t="shared" si="6"/>
        <v>102936</v>
      </c>
      <c r="S74" s="2330">
        <f t="shared" si="6"/>
        <v>101616</v>
      </c>
      <c r="T74" s="2330">
        <f t="shared" si="6"/>
        <v>100296</v>
      </c>
      <c r="U74" s="2330">
        <f t="shared" si="6"/>
        <v>98976</v>
      </c>
      <c r="V74" s="2330">
        <f t="shared" si="6"/>
        <v>97656</v>
      </c>
      <c r="W74" s="2330">
        <f t="shared" si="6"/>
        <v>96636</v>
      </c>
      <c r="X74" s="2330">
        <f t="shared" si="6"/>
        <v>95316</v>
      </c>
      <c r="Y74" s="2330">
        <f t="shared" si="6"/>
        <v>93936</v>
      </c>
      <c r="Z74" s="2330">
        <f t="shared" si="6"/>
        <v>92616</v>
      </c>
      <c r="AA74" s="2340">
        <f t="shared" si="6"/>
        <v>84316</v>
      </c>
    </row>
    <row r="75" spans="1:27" ht="14.25" customHeight="1">
      <c r="A75" s="2353"/>
      <c r="B75" s="2359"/>
      <c r="C75" s="2360"/>
      <c r="D75" s="2360"/>
      <c r="E75" s="2360"/>
      <c r="F75" s="1483"/>
      <c r="G75" s="1483"/>
      <c r="H75" s="1483"/>
      <c r="I75" s="1483"/>
      <c r="J75" s="2324"/>
      <c r="K75" s="2324"/>
      <c r="L75" s="2343"/>
      <c r="M75" s="2345"/>
      <c r="N75" s="2331"/>
      <c r="O75" s="2324"/>
      <c r="P75" s="2331"/>
      <c r="Q75" s="2331"/>
      <c r="R75" s="2331"/>
      <c r="S75" s="2331"/>
      <c r="T75" s="2331"/>
      <c r="U75" s="2331"/>
      <c r="V75" s="2331"/>
      <c r="W75" s="2331"/>
      <c r="X75" s="2331"/>
      <c r="Y75" s="2331"/>
      <c r="Z75" s="2331"/>
      <c r="AA75" s="2341"/>
    </row>
    <row r="76" spans="1:27" ht="14.25" customHeight="1">
      <c r="A76" s="2353"/>
      <c r="B76" s="2349" t="s">
        <v>107</v>
      </c>
      <c r="C76" s="2350"/>
      <c r="D76" s="2350">
        <v>75704</v>
      </c>
      <c r="E76" s="2350"/>
      <c r="F76" s="1483" t="s">
        <v>172</v>
      </c>
      <c r="G76" s="1483"/>
      <c r="H76" s="1483"/>
      <c r="I76" s="1483"/>
      <c r="J76" s="2324"/>
      <c r="K76" s="2324"/>
      <c r="L76" s="2343"/>
      <c r="M76" s="2345"/>
      <c r="N76" s="2331"/>
      <c r="O76" s="2324"/>
      <c r="P76" s="2331"/>
      <c r="Q76" s="2331"/>
      <c r="R76" s="2331"/>
      <c r="S76" s="2331"/>
      <c r="T76" s="2331"/>
      <c r="U76" s="2331"/>
      <c r="V76" s="2331"/>
      <c r="W76" s="2331"/>
      <c r="X76" s="2331"/>
      <c r="Y76" s="2331"/>
      <c r="Z76" s="2331"/>
      <c r="AA76" s="2341"/>
    </row>
    <row r="77" spans="1:27" ht="14.25" customHeight="1">
      <c r="A77" s="2353"/>
      <c r="B77" s="2351"/>
      <c r="C77" s="2323"/>
      <c r="D77" s="2323"/>
      <c r="E77" s="2323"/>
      <c r="F77" s="1483"/>
      <c r="G77" s="1483"/>
      <c r="H77" s="1483"/>
      <c r="I77" s="1483"/>
      <c r="J77" s="2324"/>
      <c r="K77" s="2324"/>
      <c r="L77" s="2343"/>
      <c r="M77" s="2345"/>
      <c r="N77" s="2331"/>
      <c r="O77" s="2375"/>
      <c r="P77" s="2331"/>
      <c r="Q77" s="2331"/>
      <c r="R77" s="2331"/>
      <c r="S77" s="2331"/>
      <c r="T77" s="2331"/>
      <c r="U77" s="2331"/>
      <c r="V77" s="2331"/>
      <c r="W77" s="2331"/>
      <c r="X77" s="2331"/>
      <c r="Y77" s="2331"/>
      <c r="Z77" s="2331"/>
      <c r="AA77" s="2341"/>
    </row>
    <row r="78" spans="1:27" ht="13.5" customHeight="1">
      <c r="A78" s="2354"/>
      <c r="B78" s="1485" t="s">
        <v>378</v>
      </c>
      <c r="C78" s="1485"/>
      <c r="D78" s="1485"/>
      <c r="E78" s="1485"/>
      <c r="F78" s="1485"/>
      <c r="G78" s="1485"/>
      <c r="H78" s="1485"/>
      <c r="I78" s="1485"/>
      <c r="J78" s="2363"/>
      <c r="K78" s="2324"/>
      <c r="L78" s="2343"/>
      <c r="M78" s="2346">
        <v>75704</v>
      </c>
      <c r="N78" s="677"/>
      <c r="O78" s="2323"/>
      <c r="P78" s="2326">
        <v>0</v>
      </c>
      <c r="Q78" s="2326">
        <v>0</v>
      </c>
      <c r="R78" s="2326">
        <v>91296</v>
      </c>
      <c r="S78" s="2326">
        <v>91296</v>
      </c>
      <c r="T78" s="2326">
        <v>91296</v>
      </c>
      <c r="U78" s="2326">
        <v>91296</v>
      </c>
      <c r="V78" s="2326">
        <v>91296</v>
      </c>
      <c r="W78" s="2326">
        <v>91296</v>
      </c>
      <c r="X78" s="2326">
        <v>91296</v>
      </c>
      <c r="Y78" s="2326">
        <v>91296</v>
      </c>
      <c r="Z78" s="2326">
        <v>91296</v>
      </c>
      <c r="AA78" s="2332">
        <v>83730</v>
      </c>
    </row>
    <row r="79" spans="1:27" ht="14.25" hidden="1" customHeight="1">
      <c r="A79" s="2354"/>
      <c r="B79" s="1485"/>
      <c r="C79" s="1485"/>
      <c r="D79" s="1485"/>
      <c r="E79" s="1485"/>
      <c r="F79" s="1485"/>
      <c r="G79" s="1485"/>
      <c r="H79" s="1485"/>
      <c r="I79" s="1485"/>
      <c r="J79" s="2363"/>
      <c r="K79" s="2324"/>
      <c r="L79" s="2343"/>
      <c r="M79" s="2347"/>
      <c r="N79" s="2320">
        <f>SUM(P78:AA82)</f>
        <v>905394</v>
      </c>
      <c r="O79" s="2324"/>
      <c r="P79" s="2320"/>
      <c r="Q79" s="2328"/>
      <c r="R79" s="2320"/>
      <c r="S79" s="2320"/>
      <c r="T79" s="2320"/>
      <c r="U79" s="2320"/>
      <c r="V79" s="2320"/>
      <c r="W79" s="2320"/>
      <c r="X79" s="2320"/>
      <c r="Y79" s="2320"/>
      <c r="Z79" s="2320"/>
      <c r="AA79" s="2333"/>
    </row>
    <row r="80" spans="1:27" ht="18.75" customHeight="1">
      <c r="A80" s="2354"/>
      <c r="B80" s="1485"/>
      <c r="C80" s="1485"/>
      <c r="D80" s="1485"/>
      <c r="E80" s="1485"/>
      <c r="F80" s="1485"/>
      <c r="G80" s="1485"/>
      <c r="H80" s="1485"/>
      <c r="I80" s="1485"/>
      <c r="J80" s="2363"/>
      <c r="K80" s="2324"/>
      <c r="L80" s="2336">
        <v>0</v>
      </c>
      <c r="M80" s="2347"/>
      <c r="N80" s="2320"/>
      <c r="O80" s="2324"/>
      <c r="P80" s="2320"/>
      <c r="Q80" s="2328"/>
      <c r="R80" s="2320"/>
      <c r="S80" s="2320"/>
      <c r="T80" s="2320"/>
      <c r="U80" s="2320"/>
      <c r="V80" s="2320"/>
      <c r="W80" s="2320"/>
      <c r="X80" s="2320"/>
      <c r="Y80" s="2320"/>
      <c r="Z80" s="2320"/>
      <c r="AA80" s="2333"/>
    </row>
    <row r="81" spans="1:27" ht="2.25" customHeight="1">
      <c r="A81" s="2354"/>
      <c r="B81" s="1485"/>
      <c r="C81" s="1485"/>
      <c r="D81" s="1485"/>
      <c r="E81" s="1485"/>
      <c r="F81" s="1485"/>
      <c r="G81" s="1485"/>
      <c r="H81" s="1485"/>
      <c r="I81" s="1485"/>
      <c r="J81" s="2363"/>
      <c r="K81" s="2324"/>
      <c r="L81" s="2336"/>
      <c r="M81" s="2347"/>
      <c r="N81" s="2320"/>
      <c r="O81" s="2324"/>
      <c r="P81" s="2320"/>
      <c r="Q81" s="2328"/>
      <c r="R81" s="2320"/>
      <c r="S81" s="2320"/>
      <c r="T81" s="2320"/>
      <c r="U81" s="2320"/>
      <c r="V81" s="2320"/>
      <c r="W81" s="2320"/>
      <c r="X81" s="2320"/>
      <c r="Y81" s="2320"/>
      <c r="Z81" s="2320"/>
      <c r="AA81" s="2333"/>
    </row>
    <row r="82" spans="1:27" ht="9" customHeight="1">
      <c r="A82" s="2355"/>
      <c r="B82" s="2364" t="s">
        <v>353</v>
      </c>
      <c r="C82" s="2365"/>
      <c r="D82" s="2365"/>
      <c r="E82" s="2365"/>
      <c r="F82" s="2365"/>
      <c r="G82" s="2365"/>
      <c r="H82" s="2365"/>
      <c r="I82" s="2366"/>
      <c r="J82" s="2324"/>
      <c r="K82" s="2324"/>
      <c r="L82" s="2336"/>
      <c r="M82" s="2347"/>
      <c r="N82" s="2335"/>
      <c r="O82" s="2324"/>
      <c r="P82" s="2327"/>
      <c r="Q82" s="2329"/>
      <c r="R82" s="2327"/>
      <c r="S82" s="2327"/>
      <c r="T82" s="2327"/>
      <c r="U82" s="2327"/>
      <c r="V82" s="2327"/>
      <c r="W82" s="2327"/>
      <c r="X82" s="2327"/>
      <c r="Y82" s="2327"/>
      <c r="Z82" s="2327"/>
      <c r="AA82" s="2334"/>
    </row>
    <row r="83" spans="1:27" ht="14.25" customHeight="1">
      <c r="A83" s="2355"/>
      <c r="B83" s="2364"/>
      <c r="C83" s="2365"/>
      <c r="D83" s="2365"/>
      <c r="E83" s="2365"/>
      <c r="F83" s="2365"/>
      <c r="G83" s="2365"/>
      <c r="H83" s="2365"/>
      <c r="I83" s="2366"/>
      <c r="J83" s="2324"/>
      <c r="K83" s="2324"/>
      <c r="L83" s="2336"/>
      <c r="M83" s="2347"/>
      <c r="N83" s="678"/>
      <c r="O83" s="2324"/>
      <c r="P83" s="2322">
        <v>0</v>
      </c>
      <c r="Q83" s="2320">
        <v>30000</v>
      </c>
      <c r="R83" s="2322">
        <v>11640</v>
      </c>
      <c r="S83" s="2320">
        <v>10320</v>
      </c>
      <c r="T83" s="2320">
        <v>9000</v>
      </c>
      <c r="U83" s="2320">
        <v>7680</v>
      </c>
      <c r="V83" s="2322">
        <v>6360</v>
      </c>
      <c r="W83" s="2322">
        <v>5340</v>
      </c>
      <c r="X83" s="2322">
        <v>4020</v>
      </c>
      <c r="Y83" s="2322">
        <v>2640</v>
      </c>
      <c r="Z83" s="2322">
        <v>1320</v>
      </c>
      <c r="AA83" s="2338">
        <v>586</v>
      </c>
    </row>
    <row r="84" spans="1:27" ht="7.5" customHeight="1">
      <c r="A84" s="2355"/>
      <c r="B84" s="2364"/>
      <c r="C84" s="2365"/>
      <c r="D84" s="2365"/>
      <c r="E84" s="2365"/>
      <c r="F84" s="2365"/>
      <c r="G84" s="2365"/>
      <c r="H84" s="2365"/>
      <c r="I84" s="2366"/>
      <c r="J84" s="2324"/>
      <c r="K84" s="2324"/>
      <c r="L84" s="2336"/>
      <c r="M84" s="2347"/>
      <c r="N84" s="2320">
        <f>SUM(P83:AA85)</f>
        <v>88906</v>
      </c>
      <c r="O84" s="2324"/>
      <c r="P84" s="2320"/>
      <c r="Q84" s="2320"/>
      <c r="R84" s="2320"/>
      <c r="S84" s="2320"/>
      <c r="T84" s="2320"/>
      <c r="U84" s="2320"/>
      <c r="V84" s="2320"/>
      <c r="W84" s="2320"/>
      <c r="X84" s="2320"/>
      <c r="Y84" s="2320"/>
      <c r="Z84" s="2320"/>
      <c r="AA84" s="2333"/>
    </row>
    <row r="85" spans="1:27" ht="9.75" customHeight="1" thickBot="1">
      <c r="A85" s="2356"/>
      <c r="B85" s="2367"/>
      <c r="C85" s="2368"/>
      <c r="D85" s="2368"/>
      <c r="E85" s="2368"/>
      <c r="F85" s="2368"/>
      <c r="G85" s="2368"/>
      <c r="H85" s="2368"/>
      <c r="I85" s="2369"/>
      <c r="J85" s="2325"/>
      <c r="K85" s="2325"/>
      <c r="L85" s="2337"/>
      <c r="M85" s="2348"/>
      <c r="N85" s="2321"/>
      <c r="O85" s="2325"/>
      <c r="P85" s="2321"/>
      <c r="Q85" s="2321"/>
      <c r="R85" s="2321"/>
      <c r="S85" s="2321"/>
      <c r="T85" s="2321"/>
      <c r="U85" s="2321"/>
      <c r="V85" s="2321"/>
      <c r="W85" s="2321"/>
      <c r="X85" s="2321"/>
      <c r="Y85" s="2321"/>
      <c r="Z85" s="2321"/>
      <c r="AA85" s="2339"/>
    </row>
    <row r="86" spans="1:27" ht="14.25" customHeight="1" thickBot="1">
      <c r="A86" s="1151"/>
      <c r="B86" s="1150"/>
      <c r="C86" s="1150"/>
      <c r="D86" s="1150"/>
      <c r="E86" s="1150"/>
      <c r="F86" s="1150"/>
      <c r="G86" s="1150"/>
      <c r="H86" s="1150"/>
      <c r="I86" s="1150"/>
      <c r="J86" s="817"/>
      <c r="K86" s="817"/>
      <c r="L86" s="821"/>
      <c r="M86" s="817"/>
      <c r="N86" s="818"/>
      <c r="O86" s="817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  <c r="AA86" s="820"/>
    </row>
    <row r="87" spans="1:27">
      <c r="A87" s="2352">
        <v>5</v>
      </c>
      <c r="B87" s="2357" t="s">
        <v>101</v>
      </c>
      <c r="C87" s="2358"/>
      <c r="D87" s="2358">
        <v>757</v>
      </c>
      <c r="E87" s="2358"/>
      <c r="F87" s="2361" t="s">
        <v>171</v>
      </c>
      <c r="G87" s="2361"/>
      <c r="H87" s="2361"/>
      <c r="I87" s="2361"/>
      <c r="J87" s="2362">
        <v>2014</v>
      </c>
      <c r="K87" s="2362">
        <v>2019</v>
      </c>
      <c r="L87" s="2342">
        <f>SUM(N87,L93)</f>
        <v>0</v>
      </c>
      <c r="M87" s="2344" t="s">
        <v>120</v>
      </c>
      <c r="N87" s="2330">
        <f>SUM(N92:N98)</f>
        <v>0</v>
      </c>
      <c r="O87" s="2362"/>
      <c r="P87" s="2330">
        <f>SUM(P91:P98)</f>
        <v>0</v>
      </c>
      <c r="Q87" s="2330">
        <f t="shared" ref="Q87:Z87" si="7">SUM(Q91:Q98)</f>
        <v>0</v>
      </c>
      <c r="R87" s="2330">
        <f t="shared" si="7"/>
        <v>0</v>
      </c>
      <c r="S87" s="2330">
        <f t="shared" si="7"/>
        <v>0</v>
      </c>
      <c r="T87" s="2330">
        <f t="shared" si="7"/>
        <v>0</v>
      </c>
      <c r="U87" s="2330">
        <f t="shared" si="7"/>
        <v>0</v>
      </c>
      <c r="V87" s="2330">
        <f t="shared" si="7"/>
        <v>0</v>
      </c>
      <c r="W87" s="2330">
        <f t="shared" si="7"/>
        <v>0</v>
      </c>
      <c r="X87" s="2330">
        <f t="shared" si="7"/>
        <v>0</v>
      </c>
      <c r="Y87" s="2330">
        <f t="shared" si="7"/>
        <v>0</v>
      </c>
      <c r="Z87" s="2330">
        <f t="shared" si="7"/>
        <v>0</v>
      </c>
      <c r="AA87" s="2340">
        <f t="shared" ref="AA87" si="8">SUM(AA91:AA98)</f>
        <v>0</v>
      </c>
    </row>
    <row r="88" spans="1:27" ht="13.5" customHeight="1">
      <c r="A88" s="2353"/>
      <c r="B88" s="2359"/>
      <c r="C88" s="2360"/>
      <c r="D88" s="2360"/>
      <c r="E88" s="2360"/>
      <c r="F88" s="1483"/>
      <c r="G88" s="1483"/>
      <c r="H88" s="1483"/>
      <c r="I88" s="1483"/>
      <c r="J88" s="2324"/>
      <c r="K88" s="2324"/>
      <c r="L88" s="2343"/>
      <c r="M88" s="2345"/>
      <c r="N88" s="2331"/>
      <c r="O88" s="2324"/>
      <c r="P88" s="2331"/>
      <c r="Q88" s="2331"/>
      <c r="R88" s="2331"/>
      <c r="S88" s="2331"/>
      <c r="T88" s="2331"/>
      <c r="U88" s="2331"/>
      <c r="V88" s="2331"/>
      <c r="W88" s="2331"/>
      <c r="X88" s="2331"/>
      <c r="Y88" s="2331"/>
      <c r="Z88" s="2331"/>
      <c r="AA88" s="2341"/>
    </row>
    <row r="89" spans="1:27">
      <c r="A89" s="2353"/>
      <c r="B89" s="2349" t="s">
        <v>107</v>
      </c>
      <c r="C89" s="2350"/>
      <c r="D89" s="2350">
        <v>75704</v>
      </c>
      <c r="E89" s="2350"/>
      <c r="F89" s="1483" t="s">
        <v>172</v>
      </c>
      <c r="G89" s="1483"/>
      <c r="H89" s="1483"/>
      <c r="I89" s="1483"/>
      <c r="J89" s="2324"/>
      <c r="K89" s="2324"/>
      <c r="L89" s="2343"/>
      <c r="M89" s="2345"/>
      <c r="N89" s="2331"/>
      <c r="O89" s="2324"/>
      <c r="P89" s="2331"/>
      <c r="Q89" s="2331"/>
      <c r="R89" s="2331"/>
      <c r="S89" s="2331"/>
      <c r="T89" s="2331"/>
      <c r="U89" s="2331"/>
      <c r="V89" s="2331"/>
      <c r="W89" s="2331"/>
      <c r="X89" s="2331"/>
      <c r="Y89" s="2331"/>
      <c r="Z89" s="2331"/>
      <c r="AA89" s="2341"/>
    </row>
    <row r="90" spans="1:27" ht="11.25" customHeight="1">
      <c r="A90" s="2353"/>
      <c r="B90" s="2351"/>
      <c r="C90" s="2323"/>
      <c r="D90" s="2323"/>
      <c r="E90" s="2323"/>
      <c r="F90" s="1483"/>
      <c r="G90" s="1483"/>
      <c r="H90" s="1483"/>
      <c r="I90" s="1483"/>
      <c r="J90" s="2324"/>
      <c r="K90" s="2324"/>
      <c r="L90" s="2343"/>
      <c r="M90" s="2345"/>
      <c r="N90" s="2331"/>
      <c r="O90" s="2375"/>
      <c r="P90" s="2331"/>
      <c r="Q90" s="2331"/>
      <c r="R90" s="2331"/>
      <c r="S90" s="2331"/>
      <c r="T90" s="2331"/>
      <c r="U90" s="2331"/>
      <c r="V90" s="2331"/>
      <c r="W90" s="2331"/>
      <c r="X90" s="2331"/>
      <c r="Y90" s="2331"/>
      <c r="Z90" s="2331"/>
      <c r="AA90" s="2341"/>
    </row>
    <row r="91" spans="1:27" ht="9.75" customHeight="1">
      <c r="A91" s="2354"/>
      <c r="B91" s="1485" t="s">
        <v>458</v>
      </c>
      <c r="C91" s="1485"/>
      <c r="D91" s="1485"/>
      <c r="E91" s="1485"/>
      <c r="F91" s="1485"/>
      <c r="G91" s="1485"/>
      <c r="H91" s="1485"/>
      <c r="I91" s="1485"/>
      <c r="J91" s="2363"/>
      <c r="K91" s="2324"/>
      <c r="L91" s="2343"/>
      <c r="M91" s="2346">
        <v>75704</v>
      </c>
      <c r="N91" s="677"/>
      <c r="O91" s="2323"/>
      <c r="P91" s="2326">
        <v>0</v>
      </c>
      <c r="Q91" s="2326">
        <v>0</v>
      </c>
      <c r="R91" s="2326">
        <v>0</v>
      </c>
      <c r="S91" s="2326">
        <v>0</v>
      </c>
      <c r="T91" s="2326">
        <v>0</v>
      </c>
      <c r="U91" s="2326">
        <v>0</v>
      </c>
      <c r="V91" s="2326">
        <v>0</v>
      </c>
      <c r="W91" s="2326">
        <v>0</v>
      </c>
      <c r="X91" s="2326">
        <v>0</v>
      </c>
      <c r="Y91" s="2326">
        <v>0</v>
      </c>
      <c r="Z91" s="2326">
        <v>0</v>
      </c>
      <c r="AA91" s="2332">
        <v>0</v>
      </c>
    </row>
    <row r="92" spans="1:27" ht="9.75" customHeight="1">
      <c r="A92" s="2354"/>
      <c r="B92" s="1485"/>
      <c r="C92" s="1485"/>
      <c r="D92" s="1485"/>
      <c r="E92" s="1485"/>
      <c r="F92" s="1485"/>
      <c r="G92" s="1485"/>
      <c r="H92" s="1485"/>
      <c r="I92" s="1485"/>
      <c r="J92" s="2363"/>
      <c r="K92" s="2324"/>
      <c r="L92" s="2343"/>
      <c r="M92" s="2347"/>
      <c r="N92" s="2320">
        <f>SUM(P91:AA95)</f>
        <v>0</v>
      </c>
      <c r="O92" s="2324"/>
      <c r="P92" s="2320"/>
      <c r="Q92" s="2328"/>
      <c r="R92" s="2320"/>
      <c r="S92" s="2320"/>
      <c r="T92" s="2320"/>
      <c r="U92" s="2320"/>
      <c r="V92" s="2320"/>
      <c r="W92" s="2320"/>
      <c r="X92" s="2320"/>
      <c r="Y92" s="2320"/>
      <c r="Z92" s="2320"/>
      <c r="AA92" s="2333"/>
    </row>
    <row r="93" spans="1:27" ht="9.75" customHeight="1">
      <c r="A93" s="2354"/>
      <c r="B93" s="1485"/>
      <c r="C93" s="1485"/>
      <c r="D93" s="1485"/>
      <c r="E93" s="1485"/>
      <c r="F93" s="1485"/>
      <c r="G93" s="1485"/>
      <c r="H93" s="1485"/>
      <c r="I93" s="1485"/>
      <c r="J93" s="2363"/>
      <c r="K93" s="2324"/>
      <c r="L93" s="2336">
        <v>0</v>
      </c>
      <c r="M93" s="2347"/>
      <c r="N93" s="2320"/>
      <c r="O93" s="2324"/>
      <c r="P93" s="2320"/>
      <c r="Q93" s="2328"/>
      <c r="R93" s="2320"/>
      <c r="S93" s="2320"/>
      <c r="T93" s="2320"/>
      <c r="U93" s="2320"/>
      <c r="V93" s="2320"/>
      <c r="W93" s="2320"/>
      <c r="X93" s="2320"/>
      <c r="Y93" s="2320"/>
      <c r="Z93" s="2320"/>
      <c r="AA93" s="2333"/>
    </row>
    <row r="94" spans="1:27" ht="29.25" customHeight="1">
      <c r="A94" s="2354"/>
      <c r="B94" s="1485"/>
      <c r="C94" s="1485"/>
      <c r="D94" s="1485"/>
      <c r="E94" s="1485"/>
      <c r="F94" s="1485"/>
      <c r="G94" s="1485"/>
      <c r="H94" s="1485"/>
      <c r="I94" s="1485"/>
      <c r="J94" s="2363"/>
      <c r="K94" s="2324"/>
      <c r="L94" s="2336"/>
      <c r="M94" s="2347"/>
      <c r="N94" s="2320"/>
      <c r="O94" s="2324"/>
      <c r="P94" s="2320"/>
      <c r="Q94" s="2328"/>
      <c r="R94" s="2320"/>
      <c r="S94" s="2320"/>
      <c r="T94" s="2320"/>
      <c r="U94" s="2320"/>
      <c r="V94" s="2320"/>
      <c r="W94" s="2320"/>
      <c r="X94" s="2320"/>
      <c r="Y94" s="2320"/>
      <c r="Z94" s="2320"/>
      <c r="AA94" s="2333"/>
    </row>
    <row r="95" spans="1:27" ht="9.75" customHeight="1">
      <c r="A95" s="2355"/>
      <c r="B95" s="2364" t="s">
        <v>353</v>
      </c>
      <c r="C95" s="2365"/>
      <c r="D95" s="2365"/>
      <c r="E95" s="2365"/>
      <c r="F95" s="2365"/>
      <c r="G95" s="2365"/>
      <c r="H95" s="2365"/>
      <c r="I95" s="2366"/>
      <c r="J95" s="2324"/>
      <c r="K95" s="2324"/>
      <c r="L95" s="2336"/>
      <c r="M95" s="2347"/>
      <c r="N95" s="2335"/>
      <c r="O95" s="2324"/>
      <c r="P95" s="2327"/>
      <c r="Q95" s="2329"/>
      <c r="R95" s="2327"/>
      <c r="S95" s="2327"/>
      <c r="T95" s="2327"/>
      <c r="U95" s="2327"/>
      <c r="V95" s="2327"/>
      <c r="W95" s="2327"/>
      <c r="X95" s="2327"/>
      <c r="Y95" s="2327"/>
      <c r="Z95" s="2327"/>
      <c r="AA95" s="2334"/>
    </row>
    <row r="96" spans="1:27" ht="9.75" customHeight="1">
      <c r="A96" s="2355"/>
      <c r="B96" s="2364"/>
      <c r="C96" s="2365"/>
      <c r="D96" s="2365"/>
      <c r="E96" s="2365"/>
      <c r="F96" s="2365"/>
      <c r="G96" s="2365"/>
      <c r="H96" s="2365"/>
      <c r="I96" s="2366"/>
      <c r="J96" s="2324"/>
      <c r="K96" s="2324"/>
      <c r="L96" s="2336"/>
      <c r="M96" s="2347"/>
      <c r="N96" s="678"/>
      <c r="O96" s="2324"/>
      <c r="P96" s="2322">
        <v>0</v>
      </c>
      <c r="Q96" s="2320">
        <v>0</v>
      </c>
      <c r="R96" s="2322">
        <v>0</v>
      </c>
      <c r="S96" s="2320">
        <v>0</v>
      </c>
      <c r="T96" s="2320">
        <v>0</v>
      </c>
      <c r="U96" s="2320">
        <v>0</v>
      </c>
      <c r="V96" s="2322">
        <v>0</v>
      </c>
      <c r="W96" s="2322">
        <v>0</v>
      </c>
      <c r="X96" s="2322">
        <v>0</v>
      </c>
      <c r="Y96" s="2322">
        <v>0</v>
      </c>
      <c r="Z96" s="2322">
        <v>0</v>
      </c>
      <c r="AA96" s="2338">
        <v>0</v>
      </c>
    </row>
    <row r="97" spans="1:28" ht="9.75" customHeight="1">
      <c r="A97" s="2355"/>
      <c r="B97" s="2364"/>
      <c r="C97" s="2365"/>
      <c r="D97" s="2365"/>
      <c r="E97" s="2365"/>
      <c r="F97" s="2365"/>
      <c r="G97" s="2365"/>
      <c r="H97" s="2365"/>
      <c r="I97" s="2366"/>
      <c r="J97" s="2324"/>
      <c r="K97" s="2324"/>
      <c r="L97" s="2336"/>
      <c r="M97" s="2347"/>
      <c r="N97" s="2320">
        <f>SUM(P96:AA98)</f>
        <v>0</v>
      </c>
      <c r="O97" s="2324"/>
      <c r="P97" s="2320"/>
      <c r="Q97" s="2320"/>
      <c r="R97" s="2320"/>
      <c r="S97" s="2320"/>
      <c r="T97" s="2320"/>
      <c r="U97" s="2320"/>
      <c r="V97" s="2320"/>
      <c r="W97" s="2320"/>
      <c r="X97" s="2320"/>
      <c r="Y97" s="2320"/>
      <c r="Z97" s="2320"/>
      <c r="AA97" s="2333"/>
    </row>
    <row r="98" spans="1:28" ht="10.5" customHeight="1" thickBot="1">
      <c r="A98" s="2356"/>
      <c r="B98" s="2367"/>
      <c r="C98" s="2368"/>
      <c r="D98" s="2368"/>
      <c r="E98" s="2368"/>
      <c r="F98" s="2368"/>
      <c r="G98" s="2368"/>
      <c r="H98" s="2368"/>
      <c r="I98" s="2369"/>
      <c r="J98" s="2325"/>
      <c r="K98" s="2325"/>
      <c r="L98" s="2337"/>
      <c r="M98" s="2348"/>
      <c r="N98" s="2321"/>
      <c r="O98" s="2325"/>
      <c r="P98" s="2321"/>
      <c r="Q98" s="2321"/>
      <c r="R98" s="2321"/>
      <c r="S98" s="2321"/>
      <c r="T98" s="2321"/>
      <c r="U98" s="2321"/>
      <c r="V98" s="2321"/>
      <c r="W98" s="2321"/>
      <c r="X98" s="2321"/>
      <c r="Y98" s="2321"/>
      <c r="Z98" s="2321"/>
      <c r="AA98" s="2339"/>
    </row>
    <row r="99" spans="1:28" ht="17.25" customHeight="1" thickBot="1">
      <c r="A99" s="23"/>
      <c r="B99" s="28"/>
      <c r="C99" s="28"/>
      <c r="D99" s="28"/>
      <c r="E99" s="28"/>
      <c r="F99" s="28"/>
      <c r="G99" s="28"/>
      <c r="H99" s="28"/>
      <c r="I99" s="28"/>
      <c r="J99" s="29"/>
      <c r="K99" s="29"/>
      <c r="L99" s="679"/>
      <c r="M99" s="680"/>
      <c r="N99" s="3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8">
      <c r="A100" s="2383" t="s">
        <v>186</v>
      </c>
      <c r="B100" s="2384"/>
      <c r="C100" s="2384"/>
      <c r="D100" s="2384"/>
      <c r="E100" s="2384"/>
      <c r="F100" s="2384"/>
      <c r="G100" s="2384"/>
      <c r="H100" s="2384"/>
      <c r="I100" s="2384"/>
      <c r="J100" s="2384"/>
      <c r="K100" s="2385"/>
      <c r="L100" s="2376">
        <f>SUM(L87,L61,L48,L35,L21)</f>
        <v>33589677</v>
      </c>
      <c r="M100" s="2344" t="s">
        <v>120</v>
      </c>
      <c r="N100" s="2330">
        <f>SUM(N104)</f>
        <v>29359858.289999995</v>
      </c>
      <c r="O100" s="2362" t="s">
        <v>112</v>
      </c>
      <c r="P100" s="2330">
        <f>SUM(P104)</f>
        <v>0</v>
      </c>
      <c r="Q100" s="2330">
        <f t="shared" ref="Q100:AA100" si="9">SUM(Q104)</f>
        <v>3246163.76</v>
      </c>
      <c r="R100" s="2330">
        <f t="shared" si="9"/>
        <v>2947112.5300000003</v>
      </c>
      <c r="S100" s="2330">
        <f t="shared" si="9"/>
        <v>3391577.09</v>
      </c>
      <c r="T100" s="2330">
        <f t="shared" si="9"/>
        <v>3502852.83</v>
      </c>
      <c r="U100" s="2330">
        <f t="shared" si="9"/>
        <v>3446655.8499999996</v>
      </c>
      <c r="V100" s="2330">
        <f t="shared" si="9"/>
        <v>3393155.6999999997</v>
      </c>
      <c r="W100" s="2330">
        <f t="shared" si="9"/>
        <v>3336504.11</v>
      </c>
      <c r="X100" s="2330">
        <f t="shared" si="9"/>
        <v>3126489.8899999997</v>
      </c>
      <c r="Y100" s="2330">
        <f t="shared" si="9"/>
        <v>2111375.58</v>
      </c>
      <c r="Z100" s="2330">
        <f t="shared" si="9"/>
        <v>735970.95</v>
      </c>
      <c r="AA100" s="2373">
        <f t="shared" si="9"/>
        <v>122000</v>
      </c>
    </row>
    <row r="101" spans="1:28">
      <c r="A101" s="2386"/>
      <c r="B101" s="2387"/>
      <c r="C101" s="2387"/>
      <c r="D101" s="2387"/>
      <c r="E101" s="2387"/>
      <c r="F101" s="2387"/>
      <c r="G101" s="2387"/>
      <c r="H101" s="2387"/>
      <c r="I101" s="2387"/>
      <c r="J101" s="2387"/>
      <c r="K101" s="2388"/>
      <c r="L101" s="2377"/>
      <c r="M101" s="2345"/>
      <c r="N101" s="2331"/>
      <c r="O101" s="2324"/>
      <c r="P101" s="2331"/>
      <c r="Q101" s="2331"/>
      <c r="R101" s="2331"/>
      <c r="S101" s="2331"/>
      <c r="T101" s="2331"/>
      <c r="U101" s="2331"/>
      <c r="V101" s="2331"/>
      <c r="W101" s="2331"/>
      <c r="X101" s="2331"/>
      <c r="Y101" s="2331"/>
      <c r="Z101" s="2331"/>
      <c r="AA101" s="2374"/>
    </row>
    <row r="102" spans="1:28">
      <c r="A102" s="2386"/>
      <c r="B102" s="2387"/>
      <c r="C102" s="2387"/>
      <c r="D102" s="2387"/>
      <c r="E102" s="2387"/>
      <c r="F102" s="2387"/>
      <c r="G102" s="2387"/>
      <c r="H102" s="2387"/>
      <c r="I102" s="2387"/>
      <c r="J102" s="2387"/>
      <c r="K102" s="2388"/>
      <c r="L102" s="2377"/>
      <c r="M102" s="2345"/>
      <c r="N102" s="2331"/>
      <c r="O102" s="2324"/>
      <c r="P102" s="2331"/>
      <c r="Q102" s="2331"/>
      <c r="R102" s="2331"/>
      <c r="S102" s="2331"/>
      <c r="T102" s="2331"/>
      <c r="U102" s="2331"/>
      <c r="V102" s="2331"/>
      <c r="W102" s="2331"/>
      <c r="X102" s="2331"/>
      <c r="Y102" s="2331"/>
      <c r="Z102" s="2331"/>
      <c r="AA102" s="2374"/>
    </row>
    <row r="103" spans="1:28">
      <c r="A103" s="2386"/>
      <c r="B103" s="2387"/>
      <c r="C103" s="2387"/>
      <c r="D103" s="2387"/>
      <c r="E103" s="2387"/>
      <c r="F103" s="2387"/>
      <c r="G103" s="2387"/>
      <c r="H103" s="2387"/>
      <c r="I103" s="2387"/>
      <c r="J103" s="2387"/>
      <c r="K103" s="2388"/>
      <c r="L103" s="2377"/>
      <c r="M103" s="2345"/>
      <c r="N103" s="2331"/>
      <c r="O103" s="2375"/>
      <c r="P103" s="2331"/>
      <c r="Q103" s="2331"/>
      <c r="R103" s="2331"/>
      <c r="S103" s="2331"/>
      <c r="T103" s="2331"/>
      <c r="U103" s="2331"/>
      <c r="V103" s="2331"/>
      <c r="W103" s="2331"/>
      <c r="X103" s="2331"/>
      <c r="Y103" s="2331"/>
      <c r="Z103" s="2331"/>
      <c r="AA103" s="2374"/>
    </row>
    <row r="104" spans="1:28">
      <c r="A104" s="2386"/>
      <c r="B104" s="2387"/>
      <c r="C104" s="2387"/>
      <c r="D104" s="2387"/>
      <c r="E104" s="2387"/>
      <c r="F104" s="2387"/>
      <c r="G104" s="2387"/>
      <c r="H104" s="2387"/>
      <c r="I104" s="2387"/>
      <c r="J104" s="2387"/>
      <c r="K104" s="2388"/>
      <c r="L104" s="2377"/>
      <c r="M104" s="2346">
        <v>75704</v>
      </c>
      <c r="N104" s="2326">
        <f>SUM(Q104:AA111)</f>
        <v>29359858.289999995</v>
      </c>
      <c r="O104" s="2323" t="s">
        <v>112</v>
      </c>
      <c r="P104" s="2326">
        <v>0</v>
      </c>
      <c r="Q104" s="2326">
        <f>SUM(Q25,Q39,Q52,Q91+Q65+Q96+Q70+Q74)</f>
        <v>3246163.76</v>
      </c>
      <c r="R104" s="2326">
        <f t="shared" ref="R104:Z104" si="10">SUM(R25,R39,R52,R91+R65+R96+R70+R74)</f>
        <v>2947112.5300000003</v>
      </c>
      <c r="S104" s="2326">
        <f t="shared" si="10"/>
        <v>3391577.09</v>
      </c>
      <c r="T104" s="2326">
        <f t="shared" si="10"/>
        <v>3502852.83</v>
      </c>
      <c r="U104" s="2326">
        <f t="shared" si="10"/>
        <v>3446655.8499999996</v>
      </c>
      <c r="V104" s="2326">
        <f t="shared" si="10"/>
        <v>3393155.6999999997</v>
      </c>
      <c r="W104" s="2326">
        <f t="shared" si="10"/>
        <v>3336504.11</v>
      </c>
      <c r="X104" s="2326">
        <f t="shared" si="10"/>
        <v>3126489.8899999997</v>
      </c>
      <c r="Y104" s="2326">
        <f t="shared" si="10"/>
        <v>2111375.58</v>
      </c>
      <c r="Z104" s="2326">
        <f t="shared" si="10"/>
        <v>735970.95</v>
      </c>
      <c r="AA104" s="2326">
        <v>122000</v>
      </c>
      <c r="AB104" s="833"/>
    </row>
    <row r="105" spans="1:28" ht="10.5" thickBot="1">
      <c r="A105" s="2386"/>
      <c r="B105" s="2387"/>
      <c r="C105" s="2387"/>
      <c r="D105" s="2387"/>
      <c r="E105" s="2387"/>
      <c r="F105" s="2387"/>
      <c r="G105" s="2387"/>
      <c r="H105" s="2387"/>
      <c r="I105" s="2387"/>
      <c r="J105" s="2387"/>
      <c r="K105" s="2388"/>
      <c r="L105" s="2378"/>
      <c r="M105" s="2347"/>
      <c r="N105" s="2320"/>
      <c r="O105" s="2324"/>
      <c r="P105" s="2320"/>
      <c r="Q105" s="2320"/>
      <c r="R105" s="2320"/>
      <c r="S105" s="2320"/>
      <c r="T105" s="2320"/>
      <c r="U105" s="2320"/>
      <c r="V105" s="2320"/>
      <c r="W105" s="2320"/>
      <c r="X105" s="2320"/>
      <c r="Y105" s="2320"/>
      <c r="Z105" s="2320"/>
      <c r="AA105" s="2320"/>
      <c r="AB105" s="833"/>
    </row>
    <row r="106" spans="1:28">
      <c r="A106" s="2386"/>
      <c r="B106" s="2387"/>
      <c r="C106" s="2387"/>
      <c r="D106" s="2387"/>
      <c r="E106" s="2387"/>
      <c r="F106" s="2387"/>
      <c r="G106" s="2387"/>
      <c r="H106" s="2387"/>
      <c r="I106" s="2387"/>
      <c r="J106" s="2387"/>
      <c r="K106" s="2388"/>
      <c r="L106" s="2376">
        <f>SUM(L93,L67,L54,L41,L27)</f>
        <v>0</v>
      </c>
      <c r="M106" s="2347"/>
      <c r="N106" s="2320"/>
      <c r="O106" s="2324"/>
      <c r="P106" s="2320"/>
      <c r="Q106" s="2320"/>
      <c r="R106" s="2320"/>
      <c r="S106" s="2320"/>
      <c r="T106" s="2320"/>
      <c r="U106" s="2320"/>
      <c r="V106" s="2320"/>
      <c r="W106" s="2320"/>
      <c r="X106" s="2320"/>
      <c r="Y106" s="2320"/>
      <c r="Z106" s="2320"/>
      <c r="AA106" s="2320"/>
      <c r="AB106" s="833"/>
    </row>
    <row r="107" spans="1:28">
      <c r="A107" s="2386"/>
      <c r="B107" s="2387"/>
      <c r="C107" s="2387"/>
      <c r="D107" s="2387"/>
      <c r="E107" s="2387"/>
      <c r="F107" s="2387"/>
      <c r="G107" s="2387"/>
      <c r="H107" s="2387"/>
      <c r="I107" s="2387"/>
      <c r="J107" s="2387"/>
      <c r="K107" s="2388"/>
      <c r="L107" s="2377"/>
      <c r="M107" s="2347"/>
      <c r="N107" s="2320"/>
      <c r="O107" s="2324"/>
      <c r="P107" s="2320"/>
      <c r="Q107" s="2320"/>
      <c r="R107" s="2320"/>
      <c r="S107" s="2320"/>
      <c r="T107" s="2320"/>
      <c r="U107" s="2320"/>
      <c r="V107" s="2320"/>
      <c r="W107" s="2320"/>
      <c r="X107" s="2320"/>
      <c r="Y107" s="2320"/>
      <c r="Z107" s="2320"/>
      <c r="AA107" s="2320"/>
      <c r="AB107" s="833"/>
    </row>
    <row r="108" spans="1:28">
      <c r="A108" s="2386"/>
      <c r="B108" s="2387"/>
      <c r="C108" s="2387"/>
      <c r="D108" s="2387"/>
      <c r="E108" s="2387"/>
      <c r="F108" s="2387"/>
      <c r="G108" s="2387"/>
      <c r="H108" s="2387"/>
      <c r="I108" s="2387"/>
      <c r="J108" s="2387"/>
      <c r="K108" s="2388"/>
      <c r="L108" s="2377"/>
      <c r="M108" s="2347"/>
      <c r="N108" s="2320"/>
      <c r="O108" s="2324"/>
      <c r="P108" s="2320"/>
      <c r="Q108" s="2320"/>
      <c r="R108" s="2320"/>
      <c r="S108" s="2320"/>
      <c r="T108" s="2320"/>
      <c r="U108" s="2320"/>
      <c r="V108" s="2320"/>
      <c r="W108" s="2320"/>
      <c r="X108" s="2320"/>
      <c r="Y108" s="2320"/>
      <c r="Z108" s="2320"/>
      <c r="AA108" s="2320"/>
      <c r="AB108" s="833"/>
    </row>
    <row r="109" spans="1:28">
      <c r="A109" s="2386"/>
      <c r="B109" s="2387"/>
      <c r="C109" s="2387"/>
      <c r="D109" s="2387"/>
      <c r="E109" s="2387"/>
      <c r="F109" s="2387"/>
      <c r="G109" s="2387"/>
      <c r="H109" s="2387"/>
      <c r="I109" s="2387"/>
      <c r="J109" s="2387"/>
      <c r="K109" s="2388"/>
      <c r="L109" s="2377"/>
      <c r="M109" s="2347"/>
      <c r="N109" s="2320"/>
      <c r="O109" s="2324"/>
      <c r="P109" s="2320"/>
      <c r="Q109" s="2320"/>
      <c r="R109" s="2320"/>
      <c r="S109" s="2320"/>
      <c r="T109" s="2320"/>
      <c r="U109" s="2320"/>
      <c r="V109" s="2320"/>
      <c r="W109" s="2320"/>
      <c r="X109" s="2320"/>
      <c r="Y109" s="2320"/>
      <c r="Z109" s="2320"/>
      <c r="AA109" s="2320"/>
      <c r="AB109" s="833"/>
    </row>
    <row r="110" spans="1:28">
      <c r="A110" s="2386"/>
      <c r="B110" s="2387"/>
      <c r="C110" s="2387"/>
      <c r="D110" s="2387"/>
      <c r="E110" s="2387"/>
      <c r="F110" s="2387"/>
      <c r="G110" s="2387"/>
      <c r="H110" s="2387"/>
      <c r="I110" s="2387"/>
      <c r="J110" s="2387"/>
      <c r="K110" s="2388"/>
      <c r="L110" s="2377"/>
      <c r="M110" s="2347"/>
      <c r="N110" s="2320"/>
      <c r="O110" s="2324"/>
      <c r="P110" s="2320"/>
      <c r="Q110" s="2320"/>
      <c r="R110" s="2320"/>
      <c r="S110" s="2320"/>
      <c r="T110" s="2320"/>
      <c r="U110" s="2320"/>
      <c r="V110" s="2320"/>
      <c r="W110" s="2320"/>
      <c r="X110" s="2320"/>
      <c r="Y110" s="2320"/>
      <c r="Z110" s="2320"/>
      <c r="AA110" s="2320"/>
      <c r="AB110" s="833"/>
    </row>
    <row r="111" spans="1:28" ht="23.25" customHeight="1" thickBot="1">
      <c r="A111" s="2389"/>
      <c r="B111" s="2390"/>
      <c r="C111" s="2390"/>
      <c r="D111" s="2390"/>
      <c r="E111" s="2390"/>
      <c r="F111" s="2390"/>
      <c r="G111" s="2390"/>
      <c r="H111" s="2390"/>
      <c r="I111" s="2390"/>
      <c r="J111" s="2390"/>
      <c r="K111" s="2391"/>
      <c r="L111" s="2378"/>
      <c r="M111" s="2348"/>
      <c r="N111" s="2321"/>
      <c r="O111" s="2325"/>
      <c r="P111" s="2321"/>
      <c r="Q111" s="2321"/>
      <c r="R111" s="2321"/>
      <c r="S111" s="2321"/>
      <c r="T111" s="2321"/>
      <c r="U111" s="2321"/>
      <c r="V111" s="2321"/>
      <c r="W111" s="2321"/>
      <c r="X111" s="2321"/>
      <c r="Y111" s="2321"/>
      <c r="Z111" s="2321"/>
      <c r="AA111" s="2321"/>
      <c r="AB111" s="833"/>
    </row>
    <row r="112" spans="1:28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679"/>
      <c r="M112" s="680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3:27">
      <c r="M113" s="683"/>
      <c r="N113" s="683"/>
      <c r="O113" s="683"/>
      <c r="P113" s="683"/>
      <c r="Q113" s="683"/>
      <c r="R113" s="683"/>
      <c r="S113" s="683"/>
      <c r="T113" s="683"/>
      <c r="U113" s="683"/>
      <c r="V113" s="683"/>
      <c r="W113" s="683"/>
      <c r="X113" s="683"/>
      <c r="Y113" s="683"/>
      <c r="Z113" s="683"/>
      <c r="AA113" s="683"/>
    </row>
    <row r="114" spans="13:27">
      <c r="M114" s="683"/>
      <c r="N114" s="683"/>
      <c r="O114" s="683"/>
      <c r="Q114" s="683"/>
      <c r="R114" s="683"/>
      <c r="S114" s="683"/>
      <c r="T114" s="683"/>
      <c r="U114" s="683"/>
      <c r="V114" s="683"/>
      <c r="W114" s="683"/>
      <c r="X114" s="683"/>
      <c r="Y114" s="683"/>
      <c r="Z114" s="683"/>
    </row>
    <row r="115" spans="13:27">
      <c r="M115" s="683"/>
      <c r="N115" s="683"/>
      <c r="O115" s="683"/>
      <c r="P115" s="683"/>
      <c r="Q115" s="683"/>
      <c r="R115" s="683"/>
      <c r="S115" s="683"/>
      <c r="T115" s="683"/>
      <c r="U115" s="683"/>
      <c r="V115" s="683"/>
      <c r="W115" s="683"/>
      <c r="X115" s="683"/>
      <c r="Y115" s="683"/>
      <c r="Z115" s="683"/>
      <c r="AA115" s="683"/>
    </row>
    <row r="116" spans="13:27"/>
    <row r="117" spans="13:27"/>
    <row r="118" spans="13:27"/>
    <row r="119" spans="13:27"/>
    <row r="120" spans="13:27"/>
    <row r="121" spans="13:27"/>
    <row r="122" spans="13:27"/>
    <row r="123" spans="13:27"/>
    <row r="124" spans="13:27"/>
    <row r="125" spans="13:27"/>
    <row r="126" spans="13:27"/>
    <row r="127" spans="13:27"/>
    <row r="128" spans="13:27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</sheetData>
  <mergeCells count="361">
    <mergeCell ref="AA70:AA72"/>
    <mergeCell ref="N65:N69"/>
    <mergeCell ref="R65:R69"/>
    <mergeCell ref="S65:S69"/>
    <mergeCell ref="T65:T69"/>
    <mergeCell ref="U65:U69"/>
    <mergeCell ref="V65:V69"/>
    <mergeCell ref="W65:W69"/>
    <mergeCell ref="X65:X69"/>
    <mergeCell ref="Y65:Y69"/>
    <mergeCell ref="Z65:Z69"/>
    <mergeCell ref="R70:R72"/>
    <mergeCell ref="S70:S72"/>
    <mergeCell ref="T70:T72"/>
    <mergeCell ref="U70:U72"/>
    <mergeCell ref="V70:V72"/>
    <mergeCell ref="W70:W72"/>
    <mergeCell ref="X70:X72"/>
    <mergeCell ref="Y70:Y72"/>
    <mergeCell ref="Z70:Z72"/>
    <mergeCell ref="A48:A59"/>
    <mergeCell ref="B48:C49"/>
    <mergeCell ref="D48:E49"/>
    <mergeCell ref="F48:I49"/>
    <mergeCell ref="J48:J59"/>
    <mergeCell ref="K48:K59"/>
    <mergeCell ref="L48:L53"/>
    <mergeCell ref="M48:M51"/>
    <mergeCell ref="N48:N51"/>
    <mergeCell ref="B50:C51"/>
    <mergeCell ref="D50:E51"/>
    <mergeCell ref="F50:I51"/>
    <mergeCell ref="B52:I55"/>
    <mergeCell ref="M52:M59"/>
    <mergeCell ref="N52:N59"/>
    <mergeCell ref="L54:L59"/>
    <mergeCell ref="B56:I59"/>
    <mergeCell ref="A3:AA3"/>
    <mergeCell ref="A4:AA4"/>
    <mergeCell ref="A7:A18"/>
    <mergeCell ref="B7:C8"/>
    <mergeCell ref="D7:E8"/>
    <mergeCell ref="F7:I8"/>
    <mergeCell ref="J7:K12"/>
    <mergeCell ref="L7:L12"/>
    <mergeCell ref="M7:AA9"/>
    <mergeCell ref="W10:W18"/>
    <mergeCell ref="X10:X18"/>
    <mergeCell ref="Y10:Y18"/>
    <mergeCell ref="Z10:Z18"/>
    <mergeCell ref="AA10:AA18"/>
    <mergeCell ref="B11:I14"/>
    <mergeCell ref="J13:J18"/>
    <mergeCell ref="K13:K18"/>
    <mergeCell ref="L13:L18"/>
    <mergeCell ref="B15:I18"/>
    <mergeCell ref="Q10:Q18"/>
    <mergeCell ref="R10:R18"/>
    <mergeCell ref="S10:S18"/>
    <mergeCell ref="T10:T18"/>
    <mergeCell ref="U10:U18"/>
    <mergeCell ref="A21:A32"/>
    <mergeCell ref="B21:C22"/>
    <mergeCell ref="D21:E22"/>
    <mergeCell ref="F21:I22"/>
    <mergeCell ref="J21:J32"/>
    <mergeCell ref="K21:K32"/>
    <mergeCell ref="B25:I28"/>
    <mergeCell ref="B29:I32"/>
    <mergeCell ref="V10:V18"/>
    <mergeCell ref="B9:C10"/>
    <mergeCell ref="D9:E10"/>
    <mergeCell ref="F9:I10"/>
    <mergeCell ref="M10:M18"/>
    <mergeCell ref="N10:N18"/>
    <mergeCell ref="P10:P18"/>
    <mergeCell ref="Q25:Q32"/>
    <mergeCell ref="R25:R32"/>
    <mergeCell ref="S25:S32"/>
    <mergeCell ref="T25:T32"/>
    <mergeCell ref="U25:U32"/>
    <mergeCell ref="V25:V32"/>
    <mergeCell ref="X21:X24"/>
    <mergeCell ref="Y21:Y24"/>
    <mergeCell ref="Z21:Z24"/>
    <mergeCell ref="AA21:AA24"/>
    <mergeCell ref="B23:C24"/>
    <mergeCell ref="D23:E24"/>
    <mergeCell ref="F23:I24"/>
    <mergeCell ref="R21:R24"/>
    <mergeCell ref="S21:S24"/>
    <mergeCell ref="T21:T24"/>
    <mergeCell ref="U21:U24"/>
    <mergeCell ref="V21:V24"/>
    <mergeCell ref="W21:W24"/>
    <mergeCell ref="L21:L26"/>
    <mergeCell ref="M21:M24"/>
    <mergeCell ref="N21:N24"/>
    <mergeCell ref="O21:O24"/>
    <mergeCell ref="P21:P24"/>
    <mergeCell ref="Q21:Q24"/>
    <mergeCell ref="M25:M32"/>
    <mergeCell ref="Y25:Y32"/>
    <mergeCell ref="Z25:Z32"/>
    <mergeCell ref="AA25:AA32"/>
    <mergeCell ref="L27:L32"/>
    <mergeCell ref="Q39:Q46"/>
    <mergeCell ref="R39:R46"/>
    <mergeCell ref="S39:S46"/>
    <mergeCell ref="T39:T46"/>
    <mergeCell ref="N25:N32"/>
    <mergeCell ref="O25:O32"/>
    <mergeCell ref="P25:P32"/>
    <mergeCell ref="W25:W32"/>
    <mergeCell ref="X25:X32"/>
    <mergeCell ref="A35:A46"/>
    <mergeCell ref="B35:C36"/>
    <mergeCell ref="D35:E36"/>
    <mergeCell ref="F35:I36"/>
    <mergeCell ref="J35:J46"/>
    <mergeCell ref="K35:K46"/>
    <mergeCell ref="L35:L40"/>
    <mergeCell ref="M35:M38"/>
    <mergeCell ref="B43:I46"/>
    <mergeCell ref="L41:L46"/>
    <mergeCell ref="AA35:AA38"/>
    <mergeCell ref="B37:C38"/>
    <mergeCell ref="D37:E38"/>
    <mergeCell ref="F37:I38"/>
    <mergeCell ref="B39:I42"/>
    <mergeCell ref="M39:M46"/>
    <mergeCell ref="N39:N46"/>
    <mergeCell ref="O39:O46"/>
    <mergeCell ref="P39:P46"/>
    <mergeCell ref="T35:T38"/>
    <mergeCell ref="U35:U38"/>
    <mergeCell ref="V35:V38"/>
    <mergeCell ref="W35:W38"/>
    <mergeCell ref="X35:X38"/>
    <mergeCell ref="Y35:Y38"/>
    <mergeCell ref="N35:N38"/>
    <mergeCell ref="O35:O38"/>
    <mergeCell ref="P35:P38"/>
    <mergeCell ref="Q35:Q38"/>
    <mergeCell ref="R35:R38"/>
    <mergeCell ref="S35:S38"/>
    <mergeCell ref="X39:X46"/>
    <mergeCell ref="Y39:Y46"/>
    <mergeCell ref="AA39:AA46"/>
    <mergeCell ref="AA48:AA51"/>
    <mergeCell ref="AA52:AA59"/>
    <mergeCell ref="X48:X51"/>
    <mergeCell ref="AA61:AA64"/>
    <mergeCell ref="Y48:Y51"/>
    <mergeCell ref="Z48:Z51"/>
    <mergeCell ref="O74:O77"/>
    <mergeCell ref="P74:P77"/>
    <mergeCell ref="Q74:Q77"/>
    <mergeCell ref="R74:R77"/>
    <mergeCell ref="S74:S77"/>
    <mergeCell ref="X52:X59"/>
    <mergeCell ref="Y52:Y59"/>
    <mergeCell ref="Z52:Z59"/>
    <mergeCell ref="O52:O59"/>
    <mergeCell ref="P52:P59"/>
    <mergeCell ref="Q52:Q59"/>
    <mergeCell ref="R52:R59"/>
    <mergeCell ref="S52:S59"/>
    <mergeCell ref="T52:T59"/>
    <mergeCell ref="U52:U59"/>
    <mergeCell ref="V52:V59"/>
    <mergeCell ref="W52:W59"/>
    <mergeCell ref="AA65:AA69"/>
    <mergeCell ref="O48:O51"/>
    <mergeCell ref="P48:P51"/>
    <mergeCell ref="Q48:Q51"/>
    <mergeCell ref="R48:R51"/>
    <mergeCell ref="S48:S51"/>
    <mergeCell ref="T48:T51"/>
    <mergeCell ref="U48:U51"/>
    <mergeCell ref="V48:V51"/>
    <mergeCell ref="W48:W51"/>
    <mergeCell ref="K87:K98"/>
    <mergeCell ref="L87:L92"/>
    <mergeCell ref="M87:M90"/>
    <mergeCell ref="N87:N90"/>
    <mergeCell ref="O87:O90"/>
    <mergeCell ref="P87:P90"/>
    <mergeCell ref="M91:M98"/>
    <mergeCell ref="O91:O98"/>
    <mergeCell ref="U91:U95"/>
    <mergeCell ref="N97:N98"/>
    <mergeCell ref="S91:S95"/>
    <mergeCell ref="T91:T95"/>
    <mergeCell ref="A87:A98"/>
    <mergeCell ref="B87:C88"/>
    <mergeCell ref="D87:E88"/>
    <mergeCell ref="F87:I88"/>
    <mergeCell ref="J87:J98"/>
    <mergeCell ref="B91:I94"/>
    <mergeCell ref="B95:I98"/>
    <mergeCell ref="Q100:Q103"/>
    <mergeCell ref="R100:R103"/>
    <mergeCell ref="B89:C90"/>
    <mergeCell ref="D89:E90"/>
    <mergeCell ref="F89:I90"/>
    <mergeCell ref="Q87:Q90"/>
    <mergeCell ref="R87:R90"/>
    <mergeCell ref="P91:P95"/>
    <mergeCell ref="Q91:Q95"/>
    <mergeCell ref="R91:R95"/>
    <mergeCell ref="A100:K111"/>
    <mergeCell ref="L100:L105"/>
    <mergeCell ref="M100:M103"/>
    <mergeCell ref="N100:N103"/>
    <mergeCell ref="O100:O103"/>
    <mergeCell ref="P100:P103"/>
    <mergeCell ref="L93:L98"/>
    <mergeCell ref="W100:W103"/>
    <mergeCell ref="X100:X103"/>
    <mergeCell ref="Y100:Y103"/>
    <mergeCell ref="M104:M111"/>
    <mergeCell ref="N104:N111"/>
    <mergeCell ref="U1:Z1"/>
    <mergeCell ref="X104:X111"/>
    <mergeCell ref="Y104:Y111"/>
    <mergeCell ref="Z104:Z111"/>
    <mergeCell ref="S100:S103"/>
    <mergeCell ref="T100:T103"/>
    <mergeCell ref="U100:U103"/>
    <mergeCell ref="V100:V103"/>
    <mergeCell ref="Z100:Z103"/>
    <mergeCell ref="Z61:Z64"/>
    <mergeCell ref="U87:U90"/>
    <mergeCell ref="V87:V90"/>
    <mergeCell ref="V91:V95"/>
    <mergeCell ref="W39:W46"/>
    <mergeCell ref="W87:W90"/>
    <mergeCell ref="Z39:Z46"/>
    <mergeCell ref="Z35:Z38"/>
    <mergeCell ref="U39:U46"/>
    <mergeCell ref="V39:V46"/>
    <mergeCell ref="AA104:AA111"/>
    <mergeCell ref="L106:L111"/>
    <mergeCell ref="R104:R111"/>
    <mergeCell ref="S104:S111"/>
    <mergeCell ref="T104:T111"/>
    <mergeCell ref="U104:U111"/>
    <mergeCell ref="V104:V111"/>
    <mergeCell ref="W104:W111"/>
    <mergeCell ref="O104:O111"/>
    <mergeCell ref="P104:P111"/>
    <mergeCell ref="Q104:Q111"/>
    <mergeCell ref="AA100:AA103"/>
    <mergeCell ref="S87:S90"/>
    <mergeCell ref="T87:T90"/>
    <mergeCell ref="A61:A72"/>
    <mergeCell ref="B61:C62"/>
    <mergeCell ref="D61:E62"/>
    <mergeCell ref="F61:I62"/>
    <mergeCell ref="J61:J72"/>
    <mergeCell ref="K61:K72"/>
    <mergeCell ref="L61:L66"/>
    <mergeCell ref="M61:M64"/>
    <mergeCell ref="N61:N64"/>
    <mergeCell ref="B69:I72"/>
    <mergeCell ref="O61:O64"/>
    <mergeCell ref="P61:P64"/>
    <mergeCell ref="Q61:Q64"/>
    <mergeCell ref="R61:R64"/>
    <mergeCell ref="S61:S64"/>
    <mergeCell ref="T61:T64"/>
    <mergeCell ref="U61:U64"/>
    <mergeCell ref="V61:V64"/>
    <mergeCell ref="W61:W64"/>
    <mergeCell ref="X61:X64"/>
    <mergeCell ref="Y61:Y64"/>
    <mergeCell ref="B63:C64"/>
    <mergeCell ref="D63:E64"/>
    <mergeCell ref="F63:I64"/>
    <mergeCell ref="B65:I68"/>
    <mergeCell ref="M65:M72"/>
    <mergeCell ref="O65:O72"/>
    <mergeCell ref="P65:P72"/>
    <mergeCell ref="Q65:Q69"/>
    <mergeCell ref="L67:L72"/>
    <mergeCell ref="N70:N72"/>
    <mergeCell ref="Q70:Q72"/>
    <mergeCell ref="T74:T77"/>
    <mergeCell ref="AA91:AA95"/>
    <mergeCell ref="AA96:AA98"/>
    <mergeCell ref="W91:W95"/>
    <mergeCell ref="X91:X95"/>
    <mergeCell ref="Y91:Y95"/>
    <mergeCell ref="Z91:Z95"/>
    <mergeCell ref="N92:N95"/>
    <mergeCell ref="P96:P98"/>
    <mergeCell ref="Q96:Q98"/>
    <mergeCell ref="R96:R98"/>
    <mergeCell ref="S96:S98"/>
    <mergeCell ref="T96:T98"/>
    <mergeCell ref="U96:U98"/>
    <mergeCell ref="V96:V98"/>
    <mergeCell ref="W96:W98"/>
    <mergeCell ref="X96:X98"/>
    <mergeCell ref="Y96:Y98"/>
    <mergeCell ref="Z96:Z98"/>
    <mergeCell ref="X87:X90"/>
    <mergeCell ref="Y87:Y90"/>
    <mergeCell ref="Z87:Z90"/>
    <mergeCell ref="AA87:AA90"/>
    <mergeCell ref="U74:U77"/>
    <mergeCell ref="B76:C77"/>
    <mergeCell ref="D76:E77"/>
    <mergeCell ref="F76:I77"/>
    <mergeCell ref="A74:A85"/>
    <mergeCell ref="B74:C75"/>
    <mergeCell ref="D74:E75"/>
    <mergeCell ref="F74:I75"/>
    <mergeCell ref="J74:J85"/>
    <mergeCell ref="K74:K85"/>
    <mergeCell ref="B78:I81"/>
    <mergeCell ref="B82:I85"/>
    <mergeCell ref="V74:V77"/>
    <mergeCell ref="W74:W77"/>
    <mergeCell ref="X78:X82"/>
    <mergeCell ref="Y78:Y82"/>
    <mergeCell ref="Z78:Z82"/>
    <mergeCell ref="AA78:AA82"/>
    <mergeCell ref="N79:N82"/>
    <mergeCell ref="L80:L85"/>
    <mergeCell ref="X83:X85"/>
    <mergeCell ref="Y83:Y85"/>
    <mergeCell ref="Z83:Z85"/>
    <mergeCell ref="AA83:AA85"/>
    <mergeCell ref="X74:X77"/>
    <mergeCell ref="Y74:Y77"/>
    <mergeCell ref="Z74:Z77"/>
    <mergeCell ref="AA74:AA77"/>
    <mergeCell ref="L74:L79"/>
    <mergeCell ref="M74:M77"/>
    <mergeCell ref="N74:N77"/>
    <mergeCell ref="M78:M85"/>
    <mergeCell ref="S78:S82"/>
    <mergeCell ref="T78:T82"/>
    <mergeCell ref="U78:U82"/>
    <mergeCell ref="P83:P85"/>
    <mergeCell ref="Q83:Q85"/>
    <mergeCell ref="R83:R85"/>
    <mergeCell ref="S83:S85"/>
    <mergeCell ref="T83:T85"/>
    <mergeCell ref="U83:U85"/>
    <mergeCell ref="V83:V85"/>
    <mergeCell ref="W83:W85"/>
    <mergeCell ref="N84:N85"/>
    <mergeCell ref="O78:O85"/>
    <mergeCell ref="P78:P82"/>
    <mergeCell ref="Q78:Q82"/>
    <mergeCell ref="R78:R82"/>
    <mergeCell ref="V78:V82"/>
    <mergeCell ref="W78:W82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22"/>
  <sheetViews>
    <sheetView topLeftCell="A235" workbookViewId="0">
      <selection activeCell="T220" sqref="T220:W220"/>
    </sheetView>
  </sheetViews>
  <sheetFormatPr defaultRowHeight="12.75"/>
  <cols>
    <col min="1" max="1" width="3.140625" customWidth="1"/>
    <col min="2" max="2" width="2.85546875" customWidth="1"/>
    <col min="3" max="3" width="1" customWidth="1"/>
    <col min="6" max="6" width="7" customWidth="1"/>
    <col min="7" max="7" width="0.42578125" hidden="1" customWidth="1"/>
    <col min="10" max="10" width="8.5703125" customWidth="1"/>
    <col min="11" max="11" width="9.140625" hidden="1" customWidth="1"/>
    <col min="12" max="12" width="7.140625" hidden="1" customWidth="1"/>
    <col min="13" max="15" width="9.140625" hidden="1" customWidth="1"/>
    <col min="18" max="18" width="4.140625" customWidth="1"/>
    <col min="19" max="19" width="9.140625" hidden="1" customWidth="1"/>
    <col min="20" max="20" width="4.140625" customWidth="1"/>
    <col min="21" max="21" width="3.42578125" customWidth="1"/>
    <col min="22" max="22" width="14.140625" customWidth="1"/>
    <col min="23" max="23" width="9.140625" hidden="1" customWidth="1"/>
    <col min="24" max="24" width="6.28515625" customWidth="1"/>
    <col min="25" max="25" width="5.28515625" customWidth="1"/>
  </cols>
  <sheetData>
    <row r="1" spans="1:27">
      <c r="A1" s="2477"/>
      <c r="B1" s="2477"/>
      <c r="C1" s="2477"/>
      <c r="D1" s="2477"/>
      <c r="E1" s="2477"/>
      <c r="F1" s="2477"/>
      <c r="G1" s="2477"/>
      <c r="H1" s="2477"/>
      <c r="I1" s="2477"/>
      <c r="J1" s="2477"/>
      <c r="K1" s="2477"/>
      <c r="L1" s="2477"/>
      <c r="M1" s="2477"/>
      <c r="N1" s="2477"/>
      <c r="O1" s="2477"/>
      <c r="P1" s="2477"/>
      <c r="Q1" s="2477"/>
      <c r="R1" s="2477"/>
      <c r="S1" s="2477"/>
      <c r="T1" s="2477"/>
      <c r="U1" s="2477"/>
      <c r="V1" s="2477"/>
      <c r="W1" s="2477"/>
      <c r="X1" s="768"/>
      <c r="Y1" s="768"/>
      <c r="Z1" s="768"/>
      <c r="AA1" s="768"/>
    </row>
    <row r="2" spans="1:27" ht="18.75">
      <c r="A2" s="2478"/>
      <c r="B2" s="2478"/>
      <c r="C2" s="2478"/>
      <c r="D2" s="2478"/>
      <c r="E2" s="2478"/>
      <c r="F2" s="2478"/>
      <c r="G2" s="2478"/>
      <c r="H2" s="2478"/>
      <c r="I2" s="2478"/>
      <c r="J2" s="2478"/>
      <c r="K2" s="2478"/>
      <c r="L2" s="2478"/>
      <c r="M2" s="2478"/>
      <c r="N2" s="2478"/>
      <c r="O2" s="2478"/>
      <c r="P2" s="2478"/>
      <c r="Q2" s="2478"/>
      <c r="R2" s="2478"/>
      <c r="S2" s="2478"/>
      <c r="T2" s="2478"/>
      <c r="U2" s="2478"/>
      <c r="V2" s="2478"/>
      <c r="W2" s="2478"/>
      <c r="X2" s="768"/>
      <c r="Y2" s="769" t="s">
        <v>290</v>
      </c>
      <c r="Z2" s="768"/>
      <c r="AA2" s="770">
        <v>4.8</v>
      </c>
    </row>
    <row r="3" spans="1:27" ht="32.25" customHeight="1">
      <c r="A3" s="2299" t="s">
        <v>187</v>
      </c>
      <c r="B3" s="2479"/>
      <c r="C3" s="2479"/>
      <c r="D3" s="2480" t="s">
        <v>291</v>
      </c>
      <c r="E3" s="2480"/>
      <c r="F3" s="2480"/>
      <c r="G3" s="2480"/>
      <c r="H3" s="2480" t="s">
        <v>292</v>
      </c>
      <c r="I3" s="2480"/>
      <c r="J3" s="2480"/>
      <c r="K3" s="2480"/>
      <c r="L3" s="2480"/>
      <c r="M3" s="2480"/>
      <c r="N3" s="2480"/>
      <c r="O3" s="2480"/>
      <c r="P3" s="2302" t="s">
        <v>293</v>
      </c>
      <c r="Q3" s="2481"/>
      <c r="R3" s="2481"/>
      <c r="S3" s="2482"/>
      <c r="T3" s="2302" t="s">
        <v>294</v>
      </c>
      <c r="U3" s="2481"/>
      <c r="V3" s="2481"/>
      <c r="W3" s="2482"/>
      <c r="X3" s="768"/>
      <c r="Y3" s="769"/>
      <c r="Z3" s="768"/>
      <c r="AA3" s="771">
        <v>2.4</v>
      </c>
    </row>
    <row r="4" spans="1:27">
      <c r="A4" s="2305">
        <v>1</v>
      </c>
      <c r="B4" s="2490"/>
      <c r="C4" s="2490"/>
      <c r="D4" s="2491">
        <v>2013</v>
      </c>
      <c r="E4" s="2491"/>
      <c r="F4" s="2491"/>
      <c r="G4" s="2491"/>
      <c r="H4" s="2491" t="s">
        <v>295</v>
      </c>
      <c r="I4" s="2491"/>
      <c r="J4" s="2491"/>
      <c r="K4" s="2491"/>
      <c r="L4" s="2491"/>
      <c r="M4" s="2491"/>
      <c r="N4" s="2491"/>
      <c r="O4" s="2491"/>
      <c r="P4" s="2492">
        <v>0</v>
      </c>
      <c r="Q4" s="2493"/>
      <c r="R4" s="2493"/>
      <c r="S4" s="2493"/>
      <c r="T4" s="2310">
        <f>IPMT((AA3%+0.35%)/11,1,$D$219-D4+1,$P$220*-1)</f>
        <v>27000</v>
      </c>
      <c r="U4" s="2310"/>
      <c r="V4" s="2310"/>
      <c r="W4" s="2310"/>
      <c r="X4" s="768"/>
      <c r="Y4" s="768"/>
      <c r="Z4" s="768"/>
      <c r="AA4" s="768"/>
    </row>
    <row r="5" spans="1:27">
      <c r="A5" s="2280">
        <v>2</v>
      </c>
      <c r="B5" s="2483"/>
      <c r="C5" s="2483"/>
      <c r="D5" s="2484">
        <f>D4</f>
        <v>2013</v>
      </c>
      <c r="E5" s="2485"/>
      <c r="F5" s="2485"/>
      <c r="G5" s="2486"/>
      <c r="H5" s="2487" t="s">
        <v>296</v>
      </c>
      <c r="I5" s="2487"/>
      <c r="J5" s="2487"/>
      <c r="K5" s="2487"/>
      <c r="L5" s="2487"/>
      <c r="M5" s="2487"/>
      <c r="N5" s="2487"/>
      <c r="O5" s="2487"/>
      <c r="P5" s="2488">
        <v>0</v>
      </c>
      <c r="Q5" s="2489"/>
      <c r="R5" s="2489"/>
      <c r="S5" s="2489"/>
      <c r="T5" s="2284">
        <f>ROUND(IPMT(($AA$3%+0.35%)/11,1,$D$219-$D$4+1,$P$220-(SUM($P$4:P4)))*-1,2)</f>
        <v>27000</v>
      </c>
      <c r="U5" s="2284"/>
      <c r="V5" s="2284"/>
      <c r="W5" s="2284"/>
      <c r="X5" s="768"/>
      <c r="Y5" s="768"/>
      <c r="Z5" s="768"/>
      <c r="AA5" s="768"/>
    </row>
    <row r="6" spans="1:27">
      <c r="A6" s="2280">
        <v>3</v>
      </c>
      <c r="B6" s="2483"/>
      <c r="C6" s="2483"/>
      <c r="D6" s="2484">
        <f t="shared" ref="D6:D15" si="0">D5</f>
        <v>2013</v>
      </c>
      <c r="E6" s="2485"/>
      <c r="F6" s="2485"/>
      <c r="G6" s="2486"/>
      <c r="H6" s="2487" t="s">
        <v>297</v>
      </c>
      <c r="I6" s="2487"/>
      <c r="J6" s="2487"/>
      <c r="K6" s="2487"/>
      <c r="L6" s="2487"/>
      <c r="M6" s="2487"/>
      <c r="N6" s="2487"/>
      <c r="O6" s="2487"/>
      <c r="P6" s="2488">
        <v>0</v>
      </c>
      <c r="Q6" s="2489"/>
      <c r="R6" s="2489"/>
      <c r="S6" s="2489"/>
      <c r="T6" s="2284">
        <f>ROUND(IPMT(($AA$3%+0.35%)/11,1,$D$219-$D$4+1,$P$220-(SUM($P$4:P5)))*-1,2)</f>
        <v>27000</v>
      </c>
      <c r="U6" s="2284"/>
      <c r="V6" s="2284"/>
      <c r="W6" s="2284"/>
      <c r="X6" s="768"/>
      <c r="Y6" s="768"/>
      <c r="Z6" s="768"/>
      <c r="AA6" s="768"/>
    </row>
    <row r="7" spans="1:27">
      <c r="A7" s="2280">
        <v>4</v>
      </c>
      <c r="B7" s="2483"/>
      <c r="C7" s="2483"/>
      <c r="D7" s="2484">
        <f t="shared" si="0"/>
        <v>2013</v>
      </c>
      <c r="E7" s="2485"/>
      <c r="F7" s="2485"/>
      <c r="G7" s="2486"/>
      <c r="H7" s="2487" t="s">
        <v>298</v>
      </c>
      <c r="I7" s="2487"/>
      <c r="J7" s="2487"/>
      <c r="K7" s="2487"/>
      <c r="L7" s="2487"/>
      <c r="M7" s="2487"/>
      <c r="N7" s="2487"/>
      <c r="O7" s="2487"/>
      <c r="P7" s="2488">
        <v>0</v>
      </c>
      <c r="Q7" s="2489"/>
      <c r="R7" s="2489"/>
      <c r="S7" s="2489"/>
      <c r="T7" s="2284">
        <f>ROUND(IPMT(($AA$3%+0.35%)/11,1,$D$219-$D$4+1,$P$220-(SUM($P$4:P6)))*-1,2)</f>
        <v>27000</v>
      </c>
      <c r="U7" s="2284"/>
      <c r="V7" s="2284"/>
      <c r="W7" s="2284"/>
      <c r="X7" s="768"/>
      <c r="Y7" s="768"/>
      <c r="Z7" s="768"/>
      <c r="AA7" s="768"/>
    </row>
    <row r="8" spans="1:27">
      <c r="A8" s="2280">
        <v>5</v>
      </c>
      <c r="B8" s="2483"/>
      <c r="C8" s="2483"/>
      <c r="D8" s="2484">
        <f t="shared" si="0"/>
        <v>2013</v>
      </c>
      <c r="E8" s="2485"/>
      <c r="F8" s="2485"/>
      <c r="G8" s="2486"/>
      <c r="H8" s="2487" t="s">
        <v>299</v>
      </c>
      <c r="I8" s="2487"/>
      <c r="J8" s="2487"/>
      <c r="K8" s="2487"/>
      <c r="L8" s="2487"/>
      <c r="M8" s="2487"/>
      <c r="N8" s="2487"/>
      <c r="O8" s="2487"/>
      <c r="P8" s="2488">
        <v>0</v>
      </c>
      <c r="Q8" s="2489"/>
      <c r="R8" s="2489"/>
      <c r="S8" s="2489"/>
      <c r="T8" s="2284">
        <f>ROUND(IPMT(($AA$3%+0.35%)/11,1,$D$219-$D$4+1,$P$220-(SUM($P$4:P7)))*-1,2)</f>
        <v>27000</v>
      </c>
      <c r="U8" s="2284"/>
      <c r="V8" s="2284"/>
      <c r="W8" s="2284"/>
      <c r="X8" s="768"/>
      <c r="Y8" s="768"/>
      <c r="Z8" s="768"/>
      <c r="AA8" s="768"/>
    </row>
    <row r="9" spans="1:27">
      <c r="A9" s="2280">
        <v>6</v>
      </c>
      <c r="B9" s="2483"/>
      <c r="C9" s="2483"/>
      <c r="D9" s="2484">
        <f t="shared" si="0"/>
        <v>2013</v>
      </c>
      <c r="E9" s="2485"/>
      <c r="F9" s="2485"/>
      <c r="G9" s="2486"/>
      <c r="H9" s="2487" t="s">
        <v>300</v>
      </c>
      <c r="I9" s="2487"/>
      <c r="J9" s="2487"/>
      <c r="K9" s="2487"/>
      <c r="L9" s="2487"/>
      <c r="M9" s="2487"/>
      <c r="N9" s="2487"/>
      <c r="O9" s="2487"/>
      <c r="P9" s="2488">
        <v>0</v>
      </c>
      <c r="Q9" s="2489"/>
      <c r="R9" s="2489"/>
      <c r="S9" s="2489"/>
      <c r="T9" s="2284">
        <f>ROUND(IPMT(($AA$3%+0.35%)/11,1,$D$219-$D$4+1,$P$220-(SUM($P$4:P8)))*-1,2)</f>
        <v>27000</v>
      </c>
      <c r="U9" s="2284"/>
      <c r="V9" s="2284"/>
      <c r="W9" s="2284"/>
      <c r="X9" s="768"/>
      <c r="Y9" s="768"/>
      <c r="Z9" s="768"/>
      <c r="AA9" s="768"/>
    </row>
    <row r="10" spans="1:27">
      <c r="A10" s="2280">
        <v>7</v>
      </c>
      <c r="B10" s="2483"/>
      <c r="C10" s="2483"/>
      <c r="D10" s="2484">
        <f t="shared" si="0"/>
        <v>2013</v>
      </c>
      <c r="E10" s="2485"/>
      <c r="F10" s="2485"/>
      <c r="G10" s="2486"/>
      <c r="H10" s="2487" t="s">
        <v>301</v>
      </c>
      <c r="I10" s="2487"/>
      <c r="J10" s="2487"/>
      <c r="K10" s="2487"/>
      <c r="L10" s="2487"/>
      <c r="M10" s="2487"/>
      <c r="N10" s="2487"/>
      <c r="O10" s="2487"/>
      <c r="P10" s="2488">
        <v>0</v>
      </c>
      <c r="Q10" s="2489"/>
      <c r="R10" s="2489"/>
      <c r="S10" s="2489"/>
      <c r="T10" s="2284">
        <f>ROUND(IPMT(($AA$3%+0.35%)/11,1,$D$219-$D$4+1,$P$220-(SUM($P$4:P9)))*-1,2)</f>
        <v>27000</v>
      </c>
      <c r="U10" s="2284"/>
      <c r="V10" s="2284"/>
      <c r="W10" s="2284"/>
      <c r="X10" s="768"/>
      <c r="Y10" s="768"/>
      <c r="Z10" s="768"/>
      <c r="AA10" s="768"/>
    </row>
    <row r="11" spans="1:27">
      <c r="A11" s="2280">
        <v>8</v>
      </c>
      <c r="B11" s="2483"/>
      <c r="C11" s="2483"/>
      <c r="D11" s="2484">
        <f t="shared" si="0"/>
        <v>2013</v>
      </c>
      <c r="E11" s="2485"/>
      <c r="F11" s="2485"/>
      <c r="G11" s="2486"/>
      <c r="H11" s="2487" t="s">
        <v>302</v>
      </c>
      <c r="I11" s="2487"/>
      <c r="J11" s="2487"/>
      <c r="K11" s="2487"/>
      <c r="L11" s="2487"/>
      <c r="M11" s="2487"/>
      <c r="N11" s="2487"/>
      <c r="O11" s="2487"/>
      <c r="P11" s="2488">
        <v>0</v>
      </c>
      <c r="Q11" s="2489"/>
      <c r="R11" s="2489"/>
      <c r="S11" s="2489"/>
      <c r="T11" s="2284">
        <f>ROUND(IPMT(($AA$3%+0.35%)/11,1,$D$219-$D$4+1,$P$220-(SUM($P$4:P10)))*-1,2)</f>
        <v>27000</v>
      </c>
      <c r="U11" s="2284"/>
      <c r="V11" s="2284"/>
      <c r="W11" s="2284"/>
      <c r="X11" s="768"/>
      <c r="Y11" s="768"/>
      <c r="Z11" s="768"/>
      <c r="AA11" s="768"/>
    </row>
    <row r="12" spans="1:27">
      <c r="A12" s="2280">
        <v>9</v>
      </c>
      <c r="B12" s="2483"/>
      <c r="C12" s="2483"/>
      <c r="D12" s="2484">
        <f t="shared" si="0"/>
        <v>2013</v>
      </c>
      <c r="E12" s="2485"/>
      <c r="F12" s="2485"/>
      <c r="G12" s="2486"/>
      <c r="H12" s="2487" t="s">
        <v>303</v>
      </c>
      <c r="I12" s="2487"/>
      <c r="J12" s="2487"/>
      <c r="K12" s="2487"/>
      <c r="L12" s="2487"/>
      <c r="M12" s="2487"/>
      <c r="N12" s="2487"/>
      <c r="O12" s="2487"/>
      <c r="P12" s="2488">
        <v>0</v>
      </c>
      <c r="Q12" s="2489"/>
      <c r="R12" s="2489"/>
      <c r="S12" s="2489"/>
      <c r="T12" s="2284">
        <f>ROUND(IPMT(($AA$3%+0.35%)/11,1,$D$219-$D$4+1,$P$220-(SUM($P$4:P11)))*-1,2)</f>
        <v>27000</v>
      </c>
      <c r="U12" s="2284"/>
      <c r="V12" s="2284"/>
      <c r="W12" s="2284"/>
      <c r="X12" s="768"/>
      <c r="Y12" s="768"/>
      <c r="Z12" s="768"/>
      <c r="AA12" s="768"/>
    </row>
    <row r="13" spans="1:27">
      <c r="A13" s="2280">
        <v>10</v>
      </c>
      <c r="B13" s="2483"/>
      <c r="C13" s="2483"/>
      <c r="D13" s="2484">
        <f t="shared" si="0"/>
        <v>2013</v>
      </c>
      <c r="E13" s="2485"/>
      <c r="F13" s="2485"/>
      <c r="G13" s="2486"/>
      <c r="H13" s="2487" t="s">
        <v>304</v>
      </c>
      <c r="I13" s="2487"/>
      <c r="J13" s="2487"/>
      <c r="K13" s="2487"/>
      <c r="L13" s="2487"/>
      <c r="M13" s="2487"/>
      <c r="N13" s="2487"/>
      <c r="O13" s="2487"/>
      <c r="P13" s="2488">
        <v>0</v>
      </c>
      <c r="Q13" s="2489"/>
      <c r="R13" s="2489"/>
      <c r="S13" s="2489"/>
      <c r="T13" s="2284">
        <f>ROUND(IPMT(($AA$3%+0.35%)/11,1,$D$219-$D$4+1,$P$220-(SUM($P$4:P12)))*-1,2)</f>
        <v>27000</v>
      </c>
      <c r="U13" s="2284"/>
      <c r="V13" s="2284"/>
      <c r="W13" s="2284"/>
      <c r="X13" s="768"/>
      <c r="Y13" s="768"/>
      <c r="Z13" s="768"/>
      <c r="AA13" s="768"/>
    </row>
    <row r="14" spans="1:27">
      <c r="A14" s="2280">
        <v>11</v>
      </c>
      <c r="B14" s="2483"/>
      <c r="C14" s="2483"/>
      <c r="D14" s="2484">
        <f t="shared" si="0"/>
        <v>2013</v>
      </c>
      <c r="E14" s="2485"/>
      <c r="F14" s="2485"/>
      <c r="G14" s="2486"/>
      <c r="H14" s="2487" t="s">
        <v>305</v>
      </c>
      <c r="I14" s="2487"/>
      <c r="J14" s="2487"/>
      <c r="K14" s="2487"/>
      <c r="L14" s="2487"/>
      <c r="M14" s="2487"/>
      <c r="N14" s="2487"/>
      <c r="O14" s="2487"/>
      <c r="P14" s="2488">
        <v>0</v>
      </c>
      <c r="Q14" s="2489"/>
      <c r="R14" s="2489"/>
      <c r="S14" s="2489"/>
      <c r="T14" s="2284">
        <f>ROUND(IPMT(($AA$3%+0.35%)/11,1,$D$219-$D$4+1,$P$220-(SUM($P$4:P13)))*-1,2)</f>
        <v>27000</v>
      </c>
      <c r="U14" s="2284"/>
      <c r="V14" s="2284"/>
      <c r="W14" s="2284"/>
      <c r="X14" s="768"/>
      <c r="Y14" s="768"/>
      <c r="Z14" s="768"/>
      <c r="AA14" s="768"/>
    </row>
    <row r="15" spans="1:27">
      <c r="A15" s="2280">
        <v>12</v>
      </c>
      <c r="B15" s="2483"/>
      <c r="C15" s="2483"/>
      <c r="D15" s="2484">
        <f t="shared" si="0"/>
        <v>2013</v>
      </c>
      <c r="E15" s="2485"/>
      <c r="F15" s="2485"/>
      <c r="G15" s="2486"/>
      <c r="H15" s="2487" t="s">
        <v>306</v>
      </c>
      <c r="I15" s="2487"/>
      <c r="J15" s="2487"/>
      <c r="K15" s="2487"/>
      <c r="L15" s="2487"/>
      <c r="M15" s="2487"/>
      <c r="N15" s="2487"/>
      <c r="O15" s="2487"/>
      <c r="P15" s="2488">
        <v>0</v>
      </c>
      <c r="Q15" s="2489"/>
      <c r="R15" s="2489"/>
      <c r="S15" s="2489"/>
      <c r="T15" s="2284">
        <f>ROUND(IPMT(($AA$3%+0.35%)/11,1,$D$219-$D$4+1,$P$220-(SUM($P$4:P14)))*-1,2)</f>
        <v>27000</v>
      </c>
      <c r="U15" s="2284"/>
      <c r="V15" s="2284"/>
      <c r="W15" s="2284"/>
      <c r="X15" s="768"/>
      <c r="Y15" s="2494">
        <f>SUM(T4:W15)</f>
        <v>324000</v>
      </c>
      <c r="Z15" s="2495"/>
      <c r="AA15" s="768"/>
    </row>
    <row r="16" spans="1:27">
      <c r="A16" s="2496">
        <v>13</v>
      </c>
      <c r="B16" s="2497"/>
      <c r="C16" s="2497"/>
      <c r="D16" s="2498">
        <f>D15+1</f>
        <v>2014</v>
      </c>
      <c r="E16" s="2498"/>
      <c r="F16" s="2498"/>
      <c r="G16" s="2498"/>
      <c r="H16" s="2498" t="s">
        <v>295</v>
      </c>
      <c r="I16" s="2498"/>
      <c r="J16" s="2498"/>
      <c r="K16" s="2498"/>
      <c r="L16" s="2498"/>
      <c r="M16" s="2498"/>
      <c r="N16" s="2498"/>
      <c r="O16" s="2498"/>
      <c r="P16" s="2499">
        <v>0</v>
      </c>
      <c r="Q16" s="2500"/>
      <c r="R16" s="2500"/>
      <c r="S16" s="2500"/>
      <c r="T16" s="2501">
        <f>ROUND(IPMT(($AA$3%+0.35%)/11,1,$D$219-D15+1,$P$220-(SUM($P$4:P15)))*-1,2)</f>
        <v>27000</v>
      </c>
      <c r="U16" s="2501"/>
      <c r="V16" s="2501"/>
      <c r="W16" s="2501"/>
      <c r="X16" s="768"/>
      <c r="Y16" s="772"/>
      <c r="Z16" s="772"/>
      <c r="AA16" s="768"/>
    </row>
    <row r="17" spans="1:27">
      <c r="A17" s="2280">
        <v>14</v>
      </c>
      <c r="B17" s="2483"/>
      <c r="C17" s="2483"/>
      <c r="D17" s="2487">
        <f>$D$16</f>
        <v>2014</v>
      </c>
      <c r="E17" s="2487"/>
      <c r="F17" s="2487"/>
      <c r="G17" s="2487"/>
      <c r="H17" s="2487" t="s">
        <v>296</v>
      </c>
      <c r="I17" s="2487"/>
      <c r="J17" s="2487"/>
      <c r="K17" s="2487"/>
      <c r="L17" s="2487"/>
      <c r="M17" s="2487"/>
      <c r="N17" s="2487"/>
      <c r="O17" s="2487"/>
      <c r="P17" s="2488">
        <v>0</v>
      </c>
      <c r="Q17" s="2489"/>
      <c r="R17" s="2489"/>
      <c r="S17" s="2489"/>
      <c r="T17" s="2284">
        <f>ROUND(IPMT(($AA$3%+0.35%)/11,1,$D$219-D16+1,$P$220-(SUM($P$4:P16)))*-1,2)</f>
        <v>27000</v>
      </c>
      <c r="U17" s="2284"/>
      <c r="V17" s="2284"/>
      <c r="W17" s="2284"/>
      <c r="X17" s="768"/>
      <c r="Y17" s="772"/>
      <c r="Z17" s="772"/>
      <c r="AA17" s="768"/>
    </row>
    <row r="18" spans="1:27">
      <c r="A18" s="2280">
        <v>15</v>
      </c>
      <c r="B18" s="2483"/>
      <c r="C18" s="2483"/>
      <c r="D18" s="2487">
        <f t="shared" ref="D18:D27" si="1">$D$16</f>
        <v>2014</v>
      </c>
      <c r="E18" s="2487"/>
      <c r="F18" s="2487"/>
      <c r="G18" s="2487"/>
      <c r="H18" s="2487" t="s">
        <v>297</v>
      </c>
      <c r="I18" s="2487"/>
      <c r="J18" s="2487"/>
      <c r="K18" s="2487"/>
      <c r="L18" s="2487"/>
      <c r="M18" s="2487"/>
      <c r="N18" s="2487"/>
      <c r="O18" s="2487"/>
      <c r="P18" s="2488">
        <v>0</v>
      </c>
      <c r="Q18" s="2489"/>
      <c r="R18" s="2489"/>
      <c r="S18" s="2489"/>
      <c r="T18" s="2284">
        <f>ROUND(IPMT(($AA$3%+0.35%)/11,1,$D$219-$D$16+1,$P$220-(SUM($P$4:P17)))*-1,2)</f>
        <v>27000</v>
      </c>
      <c r="U18" s="2284"/>
      <c r="V18" s="2284"/>
      <c r="W18" s="2284"/>
      <c r="X18" s="768"/>
      <c r="Y18" s="772"/>
      <c r="Z18" s="772"/>
      <c r="AA18" s="768"/>
    </row>
    <row r="19" spans="1:27">
      <c r="A19" s="2280">
        <v>16</v>
      </c>
      <c r="B19" s="2483"/>
      <c r="C19" s="2483"/>
      <c r="D19" s="2487">
        <f t="shared" si="1"/>
        <v>2014</v>
      </c>
      <c r="E19" s="2487"/>
      <c r="F19" s="2487"/>
      <c r="G19" s="2487"/>
      <c r="H19" s="2487" t="s">
        <v>298</v>
      </c>
      <c r="I19" s="2487"/>
      <c r="J19" s="2487"/>
      <c r="K19" s="2487"/>
      <c r="L19" s="2487"/>
      <c r="M19" s="2487"/>
      <c r="N19" s="2487"/>
      <c r="O19" s="2487"/>
      <c r="P19" s="2488">
        <v>0</v>
      </c>
      <c r="Q19" s="2489"/>
      <c r="R19" s="2489"/>
      <c r="S19" s="2489"/>
      <c r="T19" s="2284">
        <f>ROUND(IPMT(($AA$3%+0.35%)/11,1,$D$219-$D$16+1,$P$220-(SUM($P$4:P18)))*-1,2)</f>
        <v>27000</v>
      </c>
      <c r="U19" s="2284"/>
      <c r="V19" s="2284"/>
      <c r="W19" s="2284"/>
      <c r="X19" s="768"/>
      <c r="Y19" s="772"/>
      <c r="Z19" s="772"/>
      <c r="AA19" s="768"/>
    </row>
    <row r="20" spans="1:27">
      <c r="A20" s="2280">
        <v>17</v>
      </c>
      <c r="B20" s="2483"/>
      <c r="C20" s="2483"/>
      <c r="D20" s="2487">
        <f t="shared" si="1"/>
        <v>2014</v>
      </c>
      <c r="E20" s="2487"/>
      <c r="F20" s="2487"/>
      <c r="G20" s="2487"/>
      <c r="H20" s="2487" t="s">
        <v>299</v>
      </c>
      <c r="I20" s="2487"/>
      <c r="J20" s="2487"/>
      <c r="K20" s="2487"/>
      <c r="L20" s="2487"/>
      <c r="M20" s="2487"/>
      <c r="N20" s="2487"/>
      <c r="O20" s="2487"/>
      <c r="P20" s="2488">
        <v>0</v>
      </c>
      <c r="Q20" s="2489"/>
      <c r="R20" s="2489"/>
      <c r="S20" s="2489"/>
      <c r="T20" s="2284">
        <f>ROUND(IPMT(($AA$3%+0.35%)/11,1,$D$219-$D$16+1,$P$220-(SUM($P$4:P19)))*-1,2)</f>
        <v>27000</v>
      </c>
      <c r="U20" s="2284"/>
      <c r="V20" s="2284"/>
      <c r="W20" s="2284"/>
      <c r="X20" s="768"/>
      <c r="Y20" s="772"/>
      <c r="Z20" s="772"/>
      <c r="AA20" s="768"/>
    </row>
    <row r="21" spans="1:27">
      <c r="A21" s="2280">
        <v>18</v>
      </c>
      <c r="B21" s="2483"/>
      <c r="C21" s="2483"/>
      <c r="D21" s="2487">
        <f t="shared" si="1"/>
        <v>2014</v>
      </c>
      <c r="E21" s="2487"/>
      <c r="F21" s="2487"/>
      <c r="G21" s="2487"/>
      <c r="H21" s="2487" t="s">
        <v>300</v>
      </c>
      <c r="I21" s="2487"/>
      <c r="J21" s="2487"/>
      <c r="K21" s="2487"/>
      <c r="L21" s="2487"/>
      <c r="M21" s="2487"/>
      <c r="N21" s="2487"/>
      <c r="O21" s="2487"/>
      <c r="P21" s="2488">
        <v>0</v>
      </c>
      <c r="Q21" s="2489"/>
      <c r="R21" s="2489"/>
      <c r="S21" s="2489"/>
      <c r="T21" s="2284">
        <f>ROUND(IPMT(($AA$3%+0.35%)/11,1,$D$219-$D$16+1,$P$220-(SUM($P$4:P20)))*-1,2)</f>
        <v>27000</v>
      </c>
      <c r="U21" s="2284"/>
      <c r="V21" s="2284"/>
      <c r="W21" s="2284"/>
      <c r="X21" s="768"/>
      <c r="Y21" s="772"/>
      <c r="Z21" s="772"/>
      <c r="AA21" s="768"/>
    </row>
    <row r="22" spans="1:27">
      <c r="A22" s="2280">
        <v>19</v>
      </c>
      <c r="B22" s="2483"/>
      <c r="C22" s="2483"/>
      <c r="D22" s="2487">
        <f t="shared" si="1"/>
        <v>2014</v>
      </c>
      <c r="E22" s="2487"/>
      <c r="F22" s="2487"/>
      <c r="G22" s="2487"/>
      <c r="H22" s="2487" t="s">
        <v>301</v>
      </c>
      <c r="I22" s="2487"/>
      <c r="J22" s="2487"/>
      <c r="K22" s="2487"/>
      <c r="L22" s="2487"/>
      <c r="M22" s="2487"/>
      <c r="N22" s="2487"/>
      <c r="O22" s="2487"/>
      <c r="P22" s="2488">
        <v>0</v>
      </c>
      <c r="Q22" s="2489"/>
      <c r="R22" s="2489"/>
      <c r="S22" s="2489"/>
      <c r="T22" s="2284">
        <f>ROUND(IPMT(($AA$3%+0.35%)/11,1,$D$219-$D$16+1,$P$220-(SUM($P$4:P21)))*-1,2)</f>
        <v>27000</v>
      </c>
      <c r="U22" s="2284"/>
      <c r="V22" s="2284"/>
      <c r="W22" s="2284"/>
      <c r="X22" s="768"/>
      <c r="Y22" s="772"/>
      <c r="Z22" s="772"/>
      <c r="AA22" s="768"/>
    </row>
    <row r="23" spans="1:27">
      <c r="A23" s="2280">
        <v>20</v>
      </c>
      <c r="B23" s="2483"/>
      <c r="C23" s="2483"/>
      <c r="D23" s="2487">
        <f t="shared" si="1"/>
        <v>2014</v>
      </c>
      <c r="E23" s="2487"/>
      <c r="F23" s="2487"/>
      <c r="G23" s="2487"/>
      <c r="H23" s="2487" t="s">
        <v>302</v>
      </c>
      <c r="I23" s="2487"/>
      <c r="J23" s="2487"/>
      <c r="K23" s="2487"/>
      <c r="L23" s="2487"/>
      <c r="M23" s="2487"/>
      <c r="N23" s="2487"/>
      <c r="O23" s="2487"/>
      <c r="P23" s="2488">
        <v>0</v>
      </c>
      <c r="Q23" s="2489"/>
      <c r="R23" s="2489"/>
      <c r="S23" s="2489"/>
      <c r="T23" s="2284">
        <f>ROUND(IPMT(($AA$3%+0.35%)/11,1,$D$219-$D$16+1,$P$220-(SUM($P$4:P22)))*-1,2)</f>
        <v>27000</v>
      </c>
      <c r="U23" s="2284"/>
      <c r="V23" s="2284"/>
      <c r="W23" s="2284"/>
      <c r="X23" s="768"/>
      <c r="Y23" s="772"/>
      <c r="Z23" s="772"/>
      <c r="AA23" s="768"/>
    </row>
    <row r="24" spans="1:27">
      <c r="A24" s="2280">
        <v>21</v>
      </c>
      <c r="B24" s="2483"/>
      <c r="C24" s="2483"/>
      <c r="D24" s="2487">
        <f t="shared" si="1"/>
        <v>2014</v>
      </c>
      <c r="E24" s="2487"/>
      <c r="F24" s="2487"/>
      <c r="G24" s="2487"/>
      <c r="H24" s="2487" t="s">
        <v>303</v>
      </c>
      <c r="I24" s="2487"/>
      <c r="J24" s="2487"/>
      <c r="K24" s="2487"/>
      <c r="L24" s="2487"/>
      <c r="M24" s="2487"/>
      <c r="N24" s="2487"/>
      <c r="O24" s="2487"/>
      <c r="P24" s="2488">
        <v>0</v>
      </c>
      <c r="Q24" s="2489"/>
      <c r="R24" s="2489"/>
      <c r="S24" s="2489"/>
      <c r="T24" s="2284">
        <f>ROUND(IPMT(($AA$3%+0.35%)/11,1,$D$219-$D$16+1,$P$220-(SUM($P$4:P23)))*-1,2)</f>
        <v>27000</v>
      </c>
      <c r="U24" s="2284"/>
      <c r="V24" s="2284"/>
      <c r="W24" s="2284"/>
      <c r="X24" s="768"/>
      <c r="Y24" s="772"/>
      <c r="Z24" s="772"/>
      <c r="AA24" s="768"/>
    </row>
    <row r="25" spans="1:27">
      <c r="A25" s="2280">
        <v>22</v>
      </c>
      <c r="B25" s="2483"/>
      <c r="C25" s="2483"/>
      <c r="D25" s="2487">
        <f t="shared" si="1"/>
        <v>2014</v>
      </c>
      <c r="E25" s="2487"/>
      <c r="F25" s="2487"/>
      <c r="G25" s="2487"/>
      <c r="H25" s="2487" t="s">
        <v>304</v>
      </c>
      <c r="I25" s="2487"/>
      <c r="J25" s="2487"/>
      <c r="K25" s="2487"/>
      <c r="L25" s="2487"/>
      <c r="M25" s="2487"/>
      <c r="N25" s="2487"/>
      <c r="O25" s="2487"/>
      <c r="P25" s="2488">
        <v>0</v>
      </c>
      <c r="Q25" s="2489"/>
      <c r="R25" s="2489"/>
      <c r="S25" s="2489"/>
      <c r="T25" s="2284">
        <f>ROUND(IPMT(($AA$3%+0.35%)/11,1,$D$219-$D$16+1,$P$220-(SUM($P$4:P24)))*-1,2)</f>
        <v>27000</v>
      </c>
      <c r="U25" s="2284"/>
      <c r="V25" s="2284"/>
      <c r="W25" s="2284"/>
      <c r="X25" s="768"/>
      <c r="Y25" s="772"/>
      <c r="Z25" s="772"/>
      <c r="AA25" s="768"/>
    </row>
    <row r="26" spans="1:27">
      <c r="A26" s="2280">
        <v>23</v>
      </c>
      <c r="B26" s="2483"/>
      <c r="C26" s="2483"/>
      <c r="D26" s="2487">
        <f t="shared" si="1"/>
        <v>2014</v>
      </c>
      <c r="E26" s="2487"/>
      <c r="F26" s="2487"/>
      <c r="G26" s="2487"/>
      <c r="H26" s="2487" t="s">
        <v>305</v>
      </c>
      <c r="I26" s="2487"/>
      <c r="J26" s="2487"/>
      <c r="K26" s="2487"/>
      <c r="L26" s="2487"/>
      <c r="M26" s="2487"/>
      <c r="N26" s="2487"/>
      <c r="O26" s="2487"/>
      <c r="P26" s="2488">
        <v>0</v>
      </c>
      <c r="Q26" s="2489"/>
      <c r="R26" s="2489"/>
      <c r="S26" s="2489"/>
      <c r="T26" s="2284">
        <f>ROUND(IPMT(($AA$3%+0.35%)/11,1,$D$219-$D$16+1,$P$220-(SUM($P$4:P25)))*-1,2)</f>
        <v>27000</v>
      </c>
      <c r="U26" s="2284"/>
      <c r="V26" s="2284"/>
      <c r="W26" s="2284"/>
      <c r="X26" s="768"/>
      <c r="Y26" s="772"/>
      <c r="Z26" s="772"/>
      <c r="AA26" s="768"/>
    </row>
    <row r="27" spans="1:27">
      <c r="A27" s="2280">
        <v>24</v>
      </c>
      <c r="B27" s="2483"/>
      <c r="C27" s="2483"/>
      <c r="D27" s="2487">
        <f t="shared" si="1"/>
        <v>2014</v>
      </c>
      <c r="E27" s="2487"/>
      <c r="F27" s="2487"/>
      <c r="G27" s="2487"/>
      <c r="H27" s="2487" t="s">
        <v>306</v>
      </c>
      <c r="I27" s="2487"/>
      <c r="J27" s="2487"/>
      <c r="K27" s="2487"/>
      <c r="L27" s="2487"/>
      <c r="M27" s="2487"/>
      <c r="N27" s="2487"/>
      <c r="O27" s="2487"/>
      <c r="P27" s="2488">
        <v>0</v>
      </c>
      <c r="Q27" s="2489"/>
      <c r="R27" s="2489"/>
      <c r="S27" s="2489"/>
      <c r="T27" s="2284">
        <f>ROUND(IPMT(($AA$3%+0.35%)/11,1,$D$219-$D$16+1,$P$220-(SUM($P$4:P26)))*-1,2)</f>
        <v>27000</v>
      </c>
      <c r="U27" s="2284"/>
      <c r="V27" s="2284"/>
      <c r="W27" s="2284"/>
      <c r="X27" s="768"/>
      <c r="Y27" s="2494">
        <f>SUM(T16:W27)</f>
        <v>324000</v>
      </c>
      <c r="Z27" s="2495"/>
      <c r="AA27" s="768"/>
    </row>
    <row r="28" spans="1:27">
      <c r="A28" s="2496">
        <v>25</v>
      </c>
      <c r="B28" s="2497"/>
      <c r="C28" s="2497"/>
      <c r="D28" s="2498">
        <f>D16+1</f>
        <v>2015</v>
      </c>
      <c r="E28" s="2498"/>
      <c r="F28" s="2498"/>
      <c r="G28" s="2498"/>
      <c r="H28" s="2498" t="s">
        <v>295</v>
      </c>
      <c r="I28" s="2498"/>
      <c r="J28" s="2498"/>
      <c r="K28" s="2498"/>
      <c r="L28" s="2498"/>
      <c r="M28" s="2498"/>
      <c r="N28" s="2498"/>
      <c r="O28" s="2498"/>
      <c r="P28" s="2499">
        <v>0</v>
      </c>
      <c r="Q28" s="2500"/>
      <c r="R28" s="2500"/>
      <c r="S28" s="2500"/>
      <c r="T28" s="2501">
        <f>ROUND(IPMT(($AA$3%+0.35%)/11,1,$D$219-$D$16+1,$P$220-(SUM($P$4:P27)))*-1,2)</f>
        <v>27000</v>
      </c>
      <c r="U28" s="2501"/>
      <c r="V28" s="2501"/>
      <c r="W28" s="2501"/>
      <c r="X28" s="768"/>
      <c r="Y28" s="772"/>
      <c r="Z28" s="772"/>
      <c r="AA28" s="768"/>
    </row>
    <row r="29" spans="1:27">
      <c r="A29" s="2280">
        <v>26</v>
      </c>
      <c r="B29" s="2483"/>
      <c r="C29" s="2483"/>
      <c r="D29" s="2487">
        <f>$D$28</f>
        <v>2015</v>
      </c>
      <c r="E29" s="2487"/>
      <c r="F29" s="2487"/>
      <c r="G29" s="2487"/>
      <c r="H29" s="2487" t="s">
        <v>296</v>
      </c>
      <c r="I29" s="2487"/>
      <c r="J29" s="2487"/>
      <c r="K29" s="2487"/>
      <c r="L29" s="2487"/>
      <c r="M29" s="2487"/>
      <c r="N29" s="2487"/>
      <c r="O29" s="2487"/>
      <c r="P29" s="2488">
        <v>0</v>
      </c>
      <c r="Q29" s="2489"/>
      <c r="R29" s="2489"/>
      <c r="S29" s="2489"/>
      <c r="T29" s="2284">
        <f>ROUND(IPMT(($AA$3%+0.35%)/11,1,$D$219-$D$28+1,$P$220-(SUM($P$4:P28)))*-1,2)</f>
        <v>27000</v>
      </c>
      <c r="U29" s="2284"/>
      <c r="V29" s="2284"/>
      <c r="W29" s="2284"/>
      <c r="X29" s="768"/>
      <c r="Y29" s="772"/>
      <c r="Z29" s="772"/>
      <c r="AA29" s="768"/>
    </row>
    <row r="30" spans="1:27">
      <c r="A30" s="2280">
        <v>27</v>
      </c>
      <c r="B30" s="2483"/>
      <c r="C30" s="2483"/>
      <c r="D30" s="2487">
        <f t="shared" ref="D30:D39" si="2">$D$28</f>
        <v>2015</v>
      </c>
      <c r="E30" s="2487"/>
      <c r="F30" s="2487"/>
      <c r="G30" s="2487"/>
      <c r="H30" s="2487" t="s">
        <v>297</v>
      </c>
      <c r="I30" s="2487"/>
      <c r="J30" s="2487"/>
      <c r="K30" s="2487"/>
      <c r="L30" s="2487"/>
      <c r="M30" s="2487"/>
      <c r="N30" s="2487"/>
      <c r="O30" s="2487"/>
      <c r="P30" s="2488">
        <v>0</v>
      </c>
      <c r="Q30" s="2489"/>
      <c r="R30" s="2489"/>
      <c r="S30" s="2489"/>
      <c r="T30" s="2284">
        <f>ROUND(IPMT(($AA$3%+0.35%)/11,1,$D$219-$D$28+1,$P$220-(SUM($P$4:P29)))*-1,2)</f>
        <v>27000</v>
      </c>
      <c r="U30" s="2284"/>
      <c r="V30" s="2284"/>
      <c r="W30" s="2284"/>
      <c r="X30" s="768"/>
      <c r="Y30" s="772"/>
      <c r="Z30" s="772"/>
      <c r="AA30" s="768"/>
    </row>
    <row r="31" spans="1:27">
      <c r="A31" s="2280">
        <v>28</v>
      </c>
      <c r="B31" s="2483"/>
      <c r="C31" s="2483"/>
      <c r="D31" s="2487">
        <f t="shared" si="2"/>
        <v>2015</v>
      </c>
      <c r="E31" s="2487"/>
      <c r="F31" s="2487"/>
      <c r="G31" s="2487"/>
      <c r="H31" s="2487" t="s">
        <v>298</v>
      </c>
      <c r="I31" s="2487"/>
      <c r="J31" s="2487"/>
      <c r="K31" s="2487"/>
      <c r="L31" s="2487"/>
      <c r="M31" s="2487"/>
      <c r="N31" s="2487"/>
      <c r="O31" s="2487"/>
      <c r="P31" s="2488">
        <v>0</v>
      </c>
      <c r="Q31" s="2489"/>
      <c r="R31" s="2489"/>
      <c r="S31" s="2489"/>
      <c r="T31" s="2284">
        <f>ROUND(IPMT(($AA$3%+0.35%)/11,1,$D$219-$D$28+1,$P$220-(SUM($P$4:P30)))*-1,2)</f>
        <v>27000</v>
      </c>
      <c r="U31" s="2284"/>
      <c r="V31" s="2284"/>
      <c r="W31" s="2284"/>
      <c r="X31" s="768"/>
      <c r="Y31" s="772"/>
      <c r="Z31" s="772"/>
      <c r="AA31" s="768"/>
    </row>
    <row r="32" spans="1:27">
      <c r="A32" s="2280">
        <v>29</v>
      </c>
      <c r="B32" s="2483"/>
      <c r="C32" s="2483"/>
      <c r="D32" s="2487">
        <f t="shared" si="2"/>
        <v>2015</v>
      </c>
      <c r="E32" s="2487"/>
      <c r="F32" s="2487"/>
      <c r="G32" s="2487"/>
      <c r="H32" s="2487" t="s">
        <v>299</v>
      </c>
      <c r="I32" s="2487"/>
      <c r="J32" s="2487"/>
      <c r="K32" s="2487"/>
      <c r="L32" s="2487"/>
      <c r="M32" s="2487"/>
      <c r="N32" s="2487"/>
      <c r="O32" s="2487"/>
      <c r="P32" s="2488">
        <v>0</v>
      </c>
      <c r="Q32" s="2489"/>
      <c r="R32" s="2489"/>
      <c r="S32" s="2489"/>
      <c r="T32" s="2284">
        <f>ROUND(IPMT(($AA$3%+0.35%)/11,1,$D$219-$D$28+1,$P$220-(SUM($P$4:P31)))*-1,2)</f>
        <v>27000</v>
      </c>
      <c r="U32" s="2284"/>
      <c r="V32" s="2284"/>
      <c r="W32" s="2284"/>
      <c r="X32" s="768"/>
      <c r="Y32" s="772"/>
      <c r="Z32" s="772"/>
      <c r="AA32" s="768"/>
    </row>
    <row r="33" spans="1:27">
      <c r="A33" s="2280">
        <v>30</v>
      </c>
      <c r="B33" s="2483"/>
      <c r="C33" s="2483"/>
      <c r="D33" s="2487">
        <f t="shared" si="2"/>
        <v>2015</v>
      </c>
      <c r="E33" s="2487"/>
      <c r="F33" s="2487"/>
      <c r="G33" s="2487"/>
      <c r="H33" s="2487" t="s">
        <v>300</v>
      </c>
      <c r="I33" s="2487"/>
      <c r="J33" s="2487"/>
      <c r="K33" s="2487"/>
      <c r="L33" s="2487"/>
      <c r="M33" s="2487"/>
      <c r="N33" s="2487"/>
      <c r="O33" s="2487"/>
      <c r="P33" s="2488">
        <v>0</v>
      </c>
      <c r="Q33" s="2489"/>
      <c r="R33" s="2489"/>
      <c r="S33" s="2489"/>
      <c r="T33" s="2284">
        <f>ROUND(IPMT(($AA$3%+0.35%)/11,1,$D$219-$D$28+1,$P$220-(SUM($P$4:P32)))*-1,2)</f>
        <v>27000</v>
      </c>
      <c r="U33" s="2284"/>
      <c r="V33" s="2284"/>
      <c r="W33" s="2284"/>
      <c r="X33" s="768"/>
      <c r="Y33" s="772"/>
      <c r="Z33" s="772"/>
      <c r="AA33" s="768"/>
    </row>
    <row r="34" spans="1:27">
      <c r="A34" s="2280">
        <v>31</v>
      </c>
      <c r="B34" s="2483"/>
      <c r="C34" s="2483"/>
      <c r="D34" s="2487">
        <f t="shared" si="2"/>
        <v>2015</v>
      </c>
      <c r="E34" s="2487"/>
      <c r="F34" s="2487"/>
      <c r="G34" s="2487"/>
      <c r="H34" s="2487" t="s">
        <v>301</v>
      </c>
      <c r="I34" s="2487"/>
      <c r="J34" s="2487"/>
      <c r="K34" s="2487"/>
      <c r="L34" s="2487"/>
      <c r="M34" s="2487"/>
      <c r="N34" s="2487"/>
      <c r="O34" s="2487"/>
      <c r="P34" s="2488">
        <v>60000</v>
      </c>
      <c r="Q34" s="2489"/>
      <c r="R34" s="2489"/>
      <c r="S34" s="2489"/>
      <c r="T34" s="2284">
        <f>ROUND(IPMT(($AA$3%+0.35%)/11,1,$D$219-$D$28+1,$P$220-(SUM($P$4:P33)))*-1,2)</f>
        <v>27000</v>
      </c>
      <c r="U34" s="2284"/>
      <c r="V34" s="2284"/>
      <c r="W34" s="2284"/>
      <c r="X34" s="768"/>
      <c r="Y34" s="772"/>
      <c r="Z34" s="772"/>
      <c r="AA34" s="768"/>
    </row>
    <row r="35" spans="1:27">
      <c r="A35" s="2280">
        <v>32</v>
      </c>
      <c r="B35" s="2483"/>
      <c r="C35" s="2483"/>
      <c r="D35" s="2487">
        <f t="shared" si="2"/>
        <v>2015</v>
      </c>
      <c r="E35" s="2487"/>
      <c r="F35" s="2487"/>
      <c r="G35" s="2487"/>
      <c r="H35" s="2487" t="s">
        <v>302</v>
      </c>
      <c r="I35" s="2487"/>
      <c r="J35" s="2487"/>
      <c r="K35" s="2487"/>
      <c r="L35" s="2487"/>
      <c r="M35" s="2487"/>
      <c r="N35" s="2487"/>
      <c r="O35" s="2487"/>
      <c r="P35" s="2488">
        <v>60000</v>
      </c>
      <c r="Q35" s="2489"/>
      <c r="R35" s="2489"/>
      <c r="S35" s="2489"/>
      <c r="T35" s="2284">
        <f>ROUND(IPMT(($AA$3%+0.35%)/11,1,$D$219-$D$28+1,$P$220-(SUM($P$4:P34)))*-1,2)</f>
        <v>26850</v>
      </c>
      <c r="U35" s="2284"/>
      <c r="V35" s="2284"/>
      <c r="W35" s="2284"/>
      <c r="X35" s="768"/>
      <c r="Y35" s="772"/>
      <c r="Z35" s="772"/>
      <c r="AA35" s="768"/>
    </row>
    <row r="36" spans="1:27">
      <c r="A36" s="2280">
        <v>33</v>
      </c>
      <c r="B36" s="2483"/>
      <c r="C36" s="2483"/>
      <c r="D36" s="2487">
        <f t="shared" si="2"/>
        <v>2015</v>
      </c>
      <c r="E36" s="2487"/>
      <c r="F36" s="2487"/>
      <c r="G36" s="2487"/>
      <c r="H36" s="2487" t="s">
        <v>303</v>
      </c>
      <c r="I36" s="2487"/>
      <c r="J36" s="2487"/>
      <c r="K36" s="2487"/>
      <c r="L36" s="2487"/>
      <c r="M36" s="2487"/>
      <c r="N36" s="2487"/>
      <c r="O36" s="2487"/>
      <c r="P36" s="2488">
        <v>60000</v>
      </c>
      <c r="Q36" s="2489"/>
      <c r="R36" s="2489"/>
      <c r="S36" s="2489"/>
      <c r="T36" s="2284">
        <f>ROUND(IPMT(($AA$3%+0.35%)/11,1,$D$219-$D$28+1,$P$220-(SUM($P$4:P35)))*-1,2)</f>
        <v>26700</v>
      </c>
      <c r="U36" s="2284"/>
      <c r="V36" s="2284"/>
      <c r="W36" s="2284"/>
      <c r="X36" s="768"/>
      <c r="Y36" s="772"/>
      <c r="Z36" s="772"/>
      <c r="AA36" s="768"/>
    </row>
    <row r="37" spans="1:27">
      <c r="A37" s="2280">
        <v>34</v>
      </c>
      <c r="B37" s="2483"/>
      <c r="C37" s="2483"/>
      <c r="D37" s="2487">
        <f t="shared" si="2"/>
        <v>2015</v>
      </c>
      <c r="E37" s="2487"/>
      <c r="F37" s="2487"/>
      <c r="G37" s="2487"/>
      <c r="H37" s="2487" t="s">
        <v>304</v>
      </c>
      <c r="I37" s="2487"/>
      <c r="J37" s="2487"/>
      <c r="K37" s="2487"/>
      <c r="L37" s="2487"/>
      <c r="M37" s="2487"/>
      <c r="N37" s="2487"/>
      <c r="O37" s="2487"/>
      <c r="P37" s="2488">
        <v>60000</v>
      </c>
      <c r="Q37" s="2489"/>
      <c r="R37" s="2489"/>
      <c r="S37" s="2489"/>
      <c r="T37" s="2284">
        <f>ROUND(IPMT(($AA$3%+0.35%)/11,1,$D$219-$D$28+1,$P$220-(SUM($P$4:P36)))*-1,2)</f>
        <v>26550</v>
      </c>
      <c r="U37" s="2284"/>
      <c r="V37" s="2284"/>
      <c r="W37" s="2284"/>
      <c r="X37" s="768"/>
      <c r="Y37" s="772"/>
      <c r="Z37" s="772"/>
      <c r="AA37" s="768"/>
    </row>
    <row r="38" spans="1:27">
      <c r="A38" s="2280">
        <v>35</v>
      </c>
      <c r="B38" s="2483"/>
      <c r="C38" s="2483"/>
      <c r="D38" s="2487">
        <f t="shared" si="2"/>
        <v>2015</v>
      </c>
      <c r="E38" s="2487"/>
      <c r="F38" s="2487"/>
      <c r="G38" s="2487"/>
      <c r="H38" s="2487" t="s">
        <v>305</v>
      </c>
      <c r="I38" s="2487"/>
      <c r="J38" s="2487"/>
      <c r="K38" s="2487"/>
      <c r="L38" s="2487"/>
      <c r="M38" s="2487"/>
      <c r="N38" s="2487"/>
      <c r="O38" s="2487"/>
      <c r="P38" s="2488">
        <v>60000</v>
      </c>
      <c r="Q38" s="2489"/>
      <c r="R38" s="2489"/>
      <c r="S38" s="2489"/>
      <c r="T38" s="2284">
        <f>ROUND(IPMT(($AA$3%+0.35%)/11,1,$D$219-$D$28+1,$P$220-(SUM($P$4:P37)))*-1,2)</f>
        <v>26400</v>
      </c>
      <c r="U38" s="2284"/>
      <c r="V38" s="2284"/>
      <c r="W38" s="2284"/>
      <c r="X38" s="768"/>
      <c r="Y38" s="772"/>
      <c r="Z38" s="772"/>
      <c r="AA38" s="768"/>
    </row>
    <row r="39" spans="1:27">
      <c r="A39" s="2280">
        <v>36</v>
      </c>
      <c r="B39" s="2483"/>
      <c r="C39" s="2483"/>
      <c r="D39" s="2487">
        <f t="shared" si="2"/>
        <v>2015</v>
      </c>
      <c r="E39" s="2487"/>
      <c r="F39" s="2487"/>
      <c r="G39" s="2487"/>
      <c r="H39" s="2487" t="s">
        <v>306</v>
      </c>
      <c r="I39" s="2487"/>
      <c r="J39" s="2487"/>
      <c r="K39" s="2487"/>
      <c r="L39" s="2487"/>
      <c r="M39" s="2487"/>
      <c r="N39" s="2487"/>
      <c r="O39" s="2487"/>
      <c r="P39" s="2488">
        <v>60000</v>
      </c>
      <c r="Q39" s="2489"/>
      <c r="R39" s="2489"/>
      <c r="S39" s="2489"/>
      <c r="T39" s="2284">
        <f>ROUND(IPMT(($AA$3%+0.35%)/11,1,$D$219-$D$28+1,$P$220-(SUM($P$4:P38)))*-1,2)</f>
        <v>26250</v>
      </c>
      <c r="U39" s="2284"/>
      <c r="V39" s="2284"/>
      <c r="W39" s="2284"/>
      <c r="X39" s="768"/>
      <c r="Y39" s="2494">
        <f>SUM(T28:W39)</f>
        <v>321750</v>
      </c>
      <c r="Z39" s="2495"/>
      <c r="AA39" s="768"/>
    </row>
    <row r="40" spans="1:27">
      <c r="A40" s="2496">
        <v>37</v>
      </c>
      <c r="B40" s="2497"/>
      <c r="C40" s="2497"/>
      <c r="D40" s="2498">
        <f>D28+1</f>
        <v>2016</v>
      </c>
      <c r="E40" s="2498"/>
      <c r="F40" s="2498"/>
      <c r="G40" s="2498"/>
      <c r="H40" s="2498" t="s">
        <v>295</v>
      </c>
      <c r="I40" s="2498"/>
      <c r="J40" s="2498"/>
      <c r="K40" s="2498"/>
      <c r="L40" s="2498"/>
      <c r="M40" s="2498"/>
      <c r="N40" s="2498"/>
      <c r="O40" s="2498"/>
      <c r="P40" s="2499">
        <v>60000</v>
      </c>
      <c r="Q40" s="2500"/>
      <c r="R40" s="2500"/>
      <c r="S40" s="2500"/>
      <c r="T40" s="2501">
        <f>ROUND(IPMT(($AA$3%+0.35%)/11,1,$D$219-$D$28+1,$P$220-(SUM($P$4:P39)))*-1,2)</f>
        <v>26100</v>
      </c>
      <c r="U40" s="2501"/>
      <c r="V40" s="2501"/>
      <c r="W40" s="2501"/>
      <c r="X40" s="768"/>
      <c r="Y40" s="772"/>
      <c r="Z40" s="772"/>
      <c r="AA40" s="768"/>
    </row>
    <row r="41" spans="1:27">
      <c r="A41" s="2280">
        <v>38</v>
      </c>
      <c r="B41" s="2483"/>
      <c r="C41" s="2483"/>
      <c r="D41" s="2487">
        <f>$D$40</f>
        <v>2016</v>
      </c>
      <c r="E41" s="2487"/>
      <c r="F41" s="2487"/>
      <c r="G41" s="2487"/>
      <c r="H41" s="2487" t="s">
        <v>296</v>
      </c>
      <c r="I41" s="2487"/>
      <c r="J41" s="2487"/>
      <c r="K41" s="2487"/>
      <c r="L41" s="2487"/>
      <c r="M41" s="2487"/>
      <c r="N41" s="2487"/>
      <c r="O41" s="2487"/>
      <c r="P41" s="2488">
        <v>60000</v>
      </c>
      <c r="Q41" s="2489"/>
      <c r="R41" s="2489"/>
      <c r="S41" s="2489"/>
      <c r="T41" s="2284">
        <f>ROUND(IPMT(($AA$3%+0.35%)/11,1,$D$219-$D$40+1,$P$220-(SUM($P$4:P40)))*-1,2)</f>
        <v>25950</v>
      </c>
      <c r="U41" s="2284"/>
      <c r="V41" s="2284"/>
      <c r="W41" s="2284"/>
      <c r="X41" s="768"/>
      <c r="Y41" s="772"/>
      <c r="Z41" s="772"/>
      <c r="AA41" s="768"/>
    </row>
    <row r="42" spans="1:27">
      <c r="A42" s="2280">
        <v>39</v>
      </c>
      <c r="B42" s="2483"/>
      <c r="C42" s="2483"/>
      <c r="D42" s="2487">
        <f t="shared" ref="D42:D51" si="3">$D$40</f>
        <v>2016</v>
      </c>
      <c r="E42" s="2487"/>
      <c r="F42" s="2487"/>
      <c r="G42" s="2487"/>
      <c r="H42" s="2487" t="s">
        <v>297</v>
      </c>
      <c r="I42" s="2487"/>
      <c r="J42" s="2487"/>
      <c r="K42" s="2487"/>
      <c r="L42" s="2487"/>
      <c r="M42" s="2487"/>
      <c r="N42" s="2487"/>
      <c r="O42" s="2487"/>
      <c r="P42" s="2488">
        <v>60000</v>
      </c>
      <c r="Q42" s="2489"/>
      <c r="R42" s="2489"/>
      <c r="S42" s="2489"/>
      <c r="T42" s="2284">
        <f>ROUND(IPMT(($AA$3%+0.35%)/11,1,$D$219-$D$40+1,$P$220-(SUM($P$4:P41)))*-1,2)</f>
        <v>25800</v>
      </c>
      <c r="U42" s="2284"/>
      <c r="V42" s="2284"/>
      <c r="W42" s="2284"/>
      <c r="X42" s="768"/>
      <c r="Y42" s="772"/>
      <c r="Z42" s="772"/>
      <c r="AA42" s="768"/>
    </row>
    <row r="43" spans="1:27">
      <c r="A43" s="2280">
        <v>40</v>
      </c>
      <c r="B43" s="2483"/>
      <c r="C43" s="2483"/>
      <c r="D43" s="2487">
        <f t="shared" si="3"/>
        <v>2016</v>
      </c>
      <c r="E43" s="2487"/>
      <c r="F43" s="2487"/>
      <c r="G43" s="2487"/>
      <c r="H43" s="2487" t="s">
        <v>298</v>
      </c>
      <c r="I43" s="2487"/>
      <c r="J43" s="2487"/>
      <c r="K43" s="2487"/>
      <c r="L43" s="2487"/>
      <c r="M43" s="2487"/>
      <c r="N43" s="2487"/>
      <c r="O43" s="2487"/>
      <c r="P43" s="2488">
        <v>60000</v>
      </c>
      <c r="Q43" s="2489"/>
      <c r="R43" s="2489"/>
      <c r="S43" s="2489"/>
      <c r="T43" s="2284">
        <f>ROUND(IPMT(($AA$3%+0.35%)/11,1,$D$219-$D$40+1,$P$220-(SUM($P$4:P42)))*-1,2)</f>
        <v>25650</v>
      </c>
      <c r="U43" s="2284"/>
      <c r="V43" s="2284"/>
      <c r="W43" s="2284"/>
      <c r="X43" s="768"/>
      <c r="Y43" s="772"/>
      <c r="Z43" s="772"/>
      <c r="AA43" s="768"/>
    </row>
    <row r="44" spans="1:27">
      <c r="A44" s="2280">
        <v>41</v>
      </c>
      <c r="B44" s="2483"/>
      <c r="C44" s="2483"/>
      <c r="D44" s="2487">
        <f t="shared" si="3"/>
        <v>2016</v>
      </c>
      <c r="E44" s="2487"/>
      <c r="F44" s="2487"/>
      <c r="G44" s="2487"/>
      <c r="H44" s="2487" t="s">
        <v>299</v>
      </c>
      <c r="I44" s="2487"/>
      <c r="J44" s="2487"/>
      <c r="K44" s="2487"/>
      <c r="L44" s="2487"/>
      <c r="M44" s="2487"/>
      <c r="N44" s="2487"/>
      <c r="O44" s="2487"/>
      <c r="P44" s="2488">
        <v>60000</v>
      </c>
      <c r="Q44" s="2489"/>
      <c r="R44" s="2489"/>
      <c r="S44" s="2489"/>
      <c r="T44" s="2284">
        <f>ROUND(IPMT(($AA$3%+0.35%)/11,1,$D$219-$D$40+1,$P$220-(SUM($P$4:P43)))*-1,2)</f>
        <v>25500</v>
      </c>
      <c r="U44" s="2284"/>
      <c r="V44" s="2284"/>
      <c r="W44" s="2284"/>
      <c r="X44" s="768"/>
      <c r="Y44" s="772"/>
      <c r="Z44" s="772"/>
      <c r="AA44" s="768"/>
    </row>
    <row r="45" spans="1:27">
      <c r="A45" s="2280">
        <v>42</v>
      </c>
      <c r="B45" s="2483"/>
      <c r="C45" s="2483"/>
      <c r="D45" s="2487">
        <f t="shared" si="3"/>
        <v>2016</v>
      </c>
      <c r="E45" s="2487"/>
      <c r="F45" s="2487"/>
      <c r="G45" s="2487"/>
      <c r="H45" s="2487" t="s">
        <v>300</v>
      </c>
      <c r="I45" s="2487"/>
      <c r="J45" s="2487"/>
      <c r="K45" s="2487"/>
      <c r="L45" s="2487"/>
      <c r="M45" s="2487"/>
      <c r="N45" s="2487"/>
      <c r="O45" s="2487"/>
      <c r="P45" s="2488">
        <v>60000</v>
      </c>
      <c r="Q45" s="2489"/>
      <c r="R45" s="2489"/>
      <c r="S45" s="2489"/>
      <c r="T45" s="2284">
        <f>ROUND(IPMT(($AA$3%+0.35%)/11,1,$D$219-$D$40+1,$P$220-(SUM($P$4:P44)))*-1,2)</f>
        <v>25350</v>
      </c>
      <c r="U45" s="2284"/>
      <c r="V45" s="2284"/>
      <c r="W45" s="2284"/>
      <c r="X45" s="768"/>
      <c r="Y45" s="772"/>
      <c r="Z45" s="772"/>
      <c r="AA45" s="768"/>
    </row>
    <row r="46" spans="1:27">
      <c r="A46" s="2280">
        <v>43</v>
      </c>
      <c r="B46" s="2483"/>
      <c r="C46" s="2483"/>
      <c r="D46" s="2487">
        <f t="shared" si="3"/>
        <v>2016</v>
      </c>
      <c r="E46" s="2487"/>
      <c r="F46" s="2487"/>
      <c r="G46" s="2487"/>
      <c r="H46" s="2487" t="s">
        <v>301</v>
      </c>
      <c r="I46" s="2487"/>
      <c r="J46" s="2487"/>
      <c r="K46" s="2487"/>
      <c r="L46" s="2487"/>
      <c r="M46" s="2487"/>
      <c r="N46" s="2487"/>
      <c r="O46" s="2487"/>
      <c r="P46" s="2488">
        <v>60000</v>
      </c>
      <c r="Q46" s="2489"/>
      <c r="R46" s="2489"/>
      <c r="S46" s="2489"/>
      <c r="T46" s="2284">
        <f>ROUND(IPMT(($AA$3%+0.35%)/11,1,$D$219-$D$40+1,$P$220-(SUM($P$4:P45)))*-1,2)</f>
        <v>25200</v>
      </c>
      <c r="U46" s="2284"/>
      <c r="V46" s="2284"/>
      <c r="W46" s="2284"/>
      <c r="X46" s="768"/>
      <c r="Y46" s="772"/>
      <c r="Z46" s="772"/>
      <c r="AA46" s="768"/>
    </row>
    <row r="47" spans="1:27">
      <c r="A47" s="2280">
        <v>44</v>
      </c>
      <c r="B47" s="2483"/>
      <c r="C47" s="2483"/>
      <c r="D47" s="2487">
        <f t="shared" si="3"/>
        <v>2016</v>
      </c>
      <c r="E47" s="2487"/>
      <c r="F47" s="2487"/>
      <c r="G47" s="2487"/>
      <c r="H47" s="2487" t="s">
        <v>302</v>
      </c>
      <c r="I47" s="2487"/>
      <c r="J47" s="2487"/>
      <c r="K47" s="2487"/>
      <c r="L47" s="2487"/>
      <c r="M47" s="2487"/>
      <c r="N47" s="2487"/>
      <c r="O47" s="2487"/>
      <c r="P47" s="2488">
        <v>60000</v>
      </c>
      <c r="Q47" s="2489"/>
      <c r="R47" s="2489"/>
      <c r="S47" s="2489"/>
      <c r="T47" s="2284">
        <f>ROUND(IPMT(($AA$3%+0.35%)/11,1,$D$219-$D$40+1,$P$220-(SUM($P$4:P46)))*-1,2)</f>
        <v>25050</v>
      </c>
      <c r="U47" s="2284"/>
      <c r="V47" s="2284"/>
      <c r="W47" s="2284"/>
      <c r="X47" s="768"/>
      <c r="Y47" s="772"/>
      <c r="Z47" s="772"/>
      <c r="AA47" s="768"/>
    </row>
    <row r="48" spans="1:27">
      <c r="A48" s="2280">
        <v>45</v>
      </c>
      <c r="B48" s="2483"/>
      <c r="C48" s="2483"/>
      <c r="D48" s="2487">
        <f t="shared" si="3"/>
        <v>2016</v>
      </c>
      <c r="E48" s="2487"/>
      <c r="F48" s="2487"/>
      <c r="G48" s="2487"/>
      <c r="H48" s="2487" t="s">
        <v>303</v>
      </c>
      <c r="I48" s="2487"/>
      <c r="J48" s="2487"/>
      <c r="K48" s="2487"/>
      <c r="L48" s="2487"/>
      <c r="M48" s="2487"/>
      <c r="N48" s="2487"/>
      <c r="O48" s="2487"/>
      <c r="P48" s="2488">
        <v>60000</v>
      </c>
      <c r="Q48" s="2489"/>
      <c r="R48" s="2489"/>
      <c r="S48" s="2489"/>
      <c r="T48" s="2284">
        <f>ROUND(IPMT(($AA$3%+0.35%)/11,1,$D$219-$D$40+1,$P$220-(SUM($P$4:P47)))*-1,2)</f>
        <v>24900</v>
      </c>
      <c r="U48" s="2284"/>
      <c r="V48" s="2284"/>
      <c r="W48" s="2284"/>
      <c r="X48" s="768"/>
      <c r="Y48" s="772"/>
      <c r="Z48" s="772"/>
      <c r="AA48" s="768"/>
    </row>
    <row r="49" spans="1:27">
      <c r="A49" s="2280">
        <v>46</v>
      </c>
      <c r="B49" s="2483"/>
      <c r="C49" s="2483"/>
      <c r="D49" s="2487">
        <f t="shared" si="3"/>
        <v>2016</v>
      </c>
      <c r="E49" s="2487"/>
      <c r="F49" s="2487"/>
      <c r="G49" s="2487"/>
      <c r="H49" s="2487" t="s">
        <v>304</v>
      </c>
      <c r="I49" s="2487"/>
      <c r="J49" s="2487"/>
      <c r="K49" s="2487"/>
      <c r="L49" s="2487"/>
      <c r="M49" s="2487"/>
      <c r="N49" s="2487"/>
      <c r="O49" s="2487"/>
      <c r="P49" s="2488">
        <v>60000</v>
      </c>
      <c r="Q49" s="2489"/>
      <c r="R49" s="2489"/>
      <c r="S49" s="2489"/>
      <c r="T49" s="2284">
        <f>ROUND(IPMT(($AA$3%+0.35%)/11,1,$D$219-$D$40+1,$P$220-(SUM($P$4:P48)))*-1,2)</f>
        <v>24750</v>
      </c>
      <c r="U49" s="2284"/>
      <c r="V49" s="2284"/>
      <c r="W49" s="2284"/>
      <c r="X49" s="768"/>
      <c r="Y49" s="772"/>
      <c r="Z49" s="772"/>
      <c r="AA49" s="768"/>
    </row>
    <row r="50" spans="1:27">
      <c r="A50" s="2280">
        <v>47</v>
      </c>
      <c r="B50" s="2483"/>
      <c r="C50" s="2483"/>
      <c r="D50" s="2487">
        <f t="shared" si="3"/>
        <v>2016</v>
      </c>
      <c r="E50" s="2487"/>
      <c r="F50" s="2487"/>
      <c r="G50" s="2487"/>
      <c r="H50" s="2487" t="s">
        <v>305</v>
      </c>
      <c r="I50" s="2487"/>
      <c r="J50" s="2487"/>
      <c r="K50" s="2487"/>
      <c r="L50" s="2487"/>
      <c r="M50" s="2487"/>
      <c r="N50" s="2487"/>
      <c r="O50" s="2487"/>
      <c r="P50" s="2488">
        <v>60000</v>
      </c>
      <c r="Q50" s="2489"/>
      <c r="R50" s="2489"/>
      <c r="S50" s="2489"/>
      <c r="T50" s="2284">
        <f>ROUND(IPMT(($AA$3%+0.35%)/11,1,$D$219-$D$40+1,$P$220-(SUM($P$4:P49)))*-1,2)</f>
        <v>24600</v>
      </c>
      <c r="U50" s="2284"/>
      <c r="V50" s="2284"/>
      <c r="W50" s="2284"/>
      <c r="X50" s="768"/>
      <c r="Y50" s="772"/>
      <c r="Z50" s="772"/>
      <c r="AA50" s="768"/>
    </row>
    <row r="51" spans="1:27">
      <c r="A51" s="2280">
        <v>48</v>
      </c>
      <c r="B51" s="2483"/>
      <c r="C51" s="2483"/>
      <c r="D51" s="2487">
        <f t="shared" si="3"/>
        <v>2016</v>
      </c>
      <c r="E51" s="2487"/>
      <c r="F51" s="2487"/>
      <c r="G51" s="2487"/>
      <c r="H51" s="2487" t="s">
        <v>306</v>
      </c>
      <c r="I51" s="2487"/>
      <c r="J51" s="2487"/>
      <c r="K51" s="2487"/>
      <c r="L51" s="2487"/>
      <c r="M51" s="2487"/>
      <c r="N51" s="2487"/>
      <c r="O51" s="2487"/>
      <c r="P51" s="2488">
        <v>60000</v>
      </c>
      <c r="Q51" s="2489"/>
      <c r="R51" s="2489"/>
      <c r="S51" s="2489"/>
      <c r="T51" s="2284">
        <f>ROUND(IPMT(($AA$3%+0.35%)/11,1,$D$219-$D$40+1,$P$220-(SUM($P$4:P50)))*-1,2)</f>
        <v>24450</v>
      </c>
      <c r="U51" s="2284"/>
      <c r="V51" s="2284"/>
      <c r="W51" s="2284"/>
      <c r="X51" s="768"/>
      <c r="Y51" s="2494">
        <f>SUM(T40:W51)</f>
        <v>303300</v>
      </c>
      <c r="Z51" s="2495"/>
      <c r="AA51" s="768"/>
    </row>
    <row r="52" spans="1:27">
      <c r="A52" s="2496">
        <v>49</v>
      </c>
      <c r="B52" s="2497"/>
      <c r="C52" s="2497"/>
      <c r="D52" s="2498">
        <f>D40+1</f>
        <v>2017</v>
      </c>
      <c r="E52" s="2498"/>
      <c r="F52" s="2498"/>
      <c r="G52" s="2498"/>
      <c r="H52" s="2498" t="s">
        <v>295</v>
      </c>
      <c r="I52" s="2498"/>
      <c r="J52" s="2498"/>
      <c r="K52" s="2498"/>
      <c r="L52" s="2498"/>
      <c r="M52" s="2498"/>
      <c r="N52" s="2498"/>
      <c r="O52" s="2498"/>
      <c r="P52" s="2499">
        <v>60000</v>
      </c>
      <c r="Q52" s="2500"/>
      <c r="R52" s="2500"/>
      <c r="S52" s="2500"/>
      <c r="T52" s="2501">
        <f>ROUND(IPMT(($AA$3%+0.35%)/11,1,$D$219-$D$40+1,$P$220-(SUM($P$4:P51)))*-1,2)</f>
        <v>24300</v>
      </c>
      <c r="U52" s="2501"/>
      <c r="V52" s="2501"/>
      <c r="W52" s="2501"/>
      <c r="X52" s="768"/>
      <c r="Y52" s="772"/>
      <c r="Z52" s="772"/>
      <c r="AA52" s="768"/>
    </row>
    <row r="53" spans="1:27">
      <c r="A53" s="2280">
        <v>50</v>
      </c>
      <c r="B53" s="2483"/>
      <c r="C53" s="2483"/>
      <c r="D53" s="2487">
        <f>$D$52</f>
        <v>2017</v>
      </c>
      <c r="E53" s="2487"/>
      <c r="F53" s="2487"/>
      <c r="G53" s="2487"/>
      <c r="H53" s="2487" t="s">
        <v>296</v>
      </c>
      <c r="I53" s="2487"/>
      <c r="J53" s="2487"/>
      <c r="K53" s="2487"/>
      <c r="L53" s="2487"/>
      <c r="M53" s="2487"/>
      <c r="N53" s="2487"/>
      <c r="O53" s="2487"/>
      <c r="P53" s="2488">
        <v>60000</v>
      </c>
      <c r="Q53" s="2489"/>
      <c r="R53" s="2489"/>
      <c r="S53" s="2489"/>
      <c r="T53" s="2284">
        <f>ROUND(IPMT(($AA$3%+0.35%)/11,1,$D$219-$D$52+1,$P$220-(SUM($P$4:P52)))*-1,2)</f>
        <v>24150</v>
      </c>
      <c r="U53" s="2284"/>
      <c r="V53" s="2284"/>
      <c r="W53" s="2284"/>
      <c r="X53" s="768"/>
      <c r="Y53" s="772"/>
      <c r="Z53" s="772"/>
      <c r="AA53" s="768"/>
    </row>
    <row r="54" spans="1:27">
      <c r="A54" s="2280">
        <v>51</v>
      </c>
      <c r="B54" s="2483"/>
      <c r="C54" s="2483"/>
      <c r="D54" s="2487">
        <f t="shared" ref="D54:D63" si="4">$D$52</f>
        <v>2017</v>
      </c>
      <c r="E54" s="2487"/>
      <c r="F54" s="2487"/>
      <c r="G54" s="2487"/>
      <c r="H54" s="2487" t="s">
        <v>297</v>
      </c>
      <c r="I54" s="2487"/>
      <c r="J54" s="2487"/>
      <c r="K54" s="2487"/>
      <c r="L54" s="2487"/>
      <c r="M54" s="2487"/>
      <c r="N54" s="2487"/>
      <c r="O54" s="2487"/>
      <c r="P54" s="2488">
        <v>60000</v>
      </c>
      <c r="Q54" s="2489"/>
      <c r="R54" s="2489"/>
      <c r="S54" s="2489"/>
      <c r="T54" s="2284">
        <f>ROUND(IPMT(($AA$3%+0.35%)/11,1,$D$219-$D$52+1,$P$220-(SUM($P$4:P53)))*-1,2)</f>
        <v>24000</v>
      </c>
      <c r="U54" s="2284"/>
      <c r="V54" s="2284"/>
      <c r="W54" s="2284"/>
      <c r="X54" s="768"/>
      <c r="Y54" s="772"/>
      <c r="Z54" s="772"/>
      <c r="AA54" s="768"/>
    </row>
    <row r="55" spans="1:27">
      <c r="A55" s="2280">
        <v>52</v>
      </c>
      <c r="B55" s="2483"/>
      <c r="C55" s="2483"/>
      <c r="D55" s="2487">
        <f t="shared" si="4"/>
        <v>2017</v>
      </c>
      <c r="E55" s="2487"/>
      <c r="F55" s="2487"/>
      <c r="G55" s="2487"/>
      <c r="H55" s="2487" t="s">
        <v>298</v>
      </c>
      <c r="I55" s="2487"/>
      <c r="J55" s="2487"/>
      <c r="K55" s="2487"/>
      <c r="L55" s="2487"/>
      <c r="M55" s="2487"/>
      <c r="N55" s="2487"/>
      <c r="O55" s="2487"/>
      <c r="P55" s="2488">
        <v>60000</v>
      </c>
      <c r="Q55" s="2489"/>
      <c r="R55" s="2489"/>
      <c r="S55" s="2489"/>
      <c r="T55" s="2284">
        <f>ROUND(IPMT(($AA$3%+0.35%)/11,1,$D$219-$D$52+1,$P$220-(SUM($P$4:P54)))*-1,2)</f>
        <v>23850</v>
      </c>
      <c r="U55" s="2284"/>
      <c r="V55" s="2284"/>
      <c r="W55" s="2284"/>
      <c r="X55" s="768"/>
      <c r="Y55" s="772"/>
      <c r="Z55" s="772"/>
      <c r="AA55" s="768"/>
    </row>
    <row r="56" spans="1:27">
      <c r="A56" s="2280">
        <v>53</v>
      </c>
      <c r="B56" s="2483"/>
      <c r="C56" s="2483"/>
      <c r="D56" s="2487">
        <f t="shared" si="4"/>
        <v>2017</v>
      </c>
      <c r="E56" s="2487"/>
      <c r="F56" s="2487"/>
      <c r="G56" s="2487"/>
      <c r="H56" s="2487" t="s">
        <v>299</v>
      </c>
      <c r="I56" s="2487"/>
      <c r="J56" s="2487"/>
      <c r="K56" s="2487"/>
      <c r="L56" s="2487"/>
      <c r="M56" s="2487"/>
      <c r="N56" s="2487"/>
      <c r="O56" s="2487"/>
      <c r="P56" s="2488">
        <v>60000</v>
      </c>
      <c r="Q56" s="2489"/>
      <c r="R56" s="2489"/>
      <c r="S56" s="2489"/>
      <c r="T56" s="2284">
        <f>ROUND(IPMT(($AA$3%+0.35%)/11,1,$D$219-$D$52+1,$P$220-(SUM($P$4:P55)))*-1,2)</f>
        <v>23700</v>
      </c>
      <c r="U56" s="2284"/>
      <c r="V56" s="2284"/>
      <c r="W56" s="2284"/>
      <c r="X56" s="768"/>
      <c r="Y56" s="772"/>
      <c r="Z56" s="772"/>
      <c r="AA56" s="768"/>
    </row>
    <row r="57" spans="1:27">
      <c r="A57" s="2280">
        <v>54</v>
      </c>
      <c r="B57" s="2483"/>
      <c r="C57" s="2483"/>
      <c r="D57" s="2487">
        <f t="shared" si="4"/>
        <v>2017</v>
      </c>
      <c r="E57" s="2487"/>
      <c r="F57" s="2487"/>
      <c r="G57" s="2487"/>
      <c r="H57" s="2487" t="s">
        <v>300</v>
      </c>
      <c r="I57" s="2487"/>
      <c r="J57" s="2487"/>
      <c r="K57" s="2487"/>
      <c r="L57" s="2487"/>
      <c r="M57" s="2487"/>
      <c r="N57" s="2487"/>
      <c r="O57" s="2487"/>
      <c r="P57" s="2488">
        <v>60000</v>
      </c>
      <c r="Q57" s="2489"/>
      <c r="R57" s="2489"/>
      <c r="S57" s="2489"/>
      <c r="T57" s="2284">
        <f>ROUND(IPMT(($AA$3%+0.35%)/11,1,$D$219-$D$52+1,$P$220-(SUM($P$4:P56)))*-1,2)</f>
        <v>23550</v>
      </c>
      <c r="U57" s="2284"/>
      <c r="V57" s="2284"/>
      <c r="W57" s="2284"/>
      <c r="X57" s="768"/>
      <c r="Y57" s="772"/>
      <c r="Z57" s="772"/>
      <c r="AA57" s="768"/>
    </row>
    <row r="58" spans="1:27">
      <c r="A58" s="2280">
        <v>55</v>
      </c>
      <c r="B58" s="2483"/>
      <c r="C58" s="2483"/>
      <c r="D58" s="2487">
        <f t="shared" si="4"/>
        <v>2017</v>
      </c>
      <c r="E58" s="2487"/>
      <c r="F58" s="2487"/>
      <c r="G58" s="2487"/>
      <c r="H58" s="2487" t="s">
        <v>301</v>
      </c>
      <c r="I58" s="2487"/>
      <c r="J58" s="2487"/>
      <c r="K58" s="2487"/>
      <c r="L58" s="2487"/>
      <c r="M58" s="2487"/>
      <c r="N58" s="2487"/>
      <c r="O58" s="2487"/>
      <c r="P58" s="2488">
        <v>60000</v>
      </c>
      <c r="Q58" s="2489"/>
      <c r="R58" s="2489"/>
      <c r="S58" s="2489"/>
      <c r="T58" s="2284">
        <f>ROUND(IPMT(($AA$3%+0.35%)/11,1,$D$219-$D$52+1,$P$220-(SUM($P$4:P57)))*-1,2)</f>
        <v>23400</v>
      </c>
      <c r="U58" s="2284"/>
      <c r="V58" s="2284"/>
      <c r="W58" s="2284"/>
      <c r="X58" s="768"/>
      <c r="Y58" s="772"/>
      <c r="Z58" s="772"/>
      <c r="AA58" s="768"/>
    </row>
    <row r="59" spans="1:27">
      <c r="A59" s="2280">
        <v>56</v>
      </c>
      <c r="B59" s="2483"/>
      <c r="C59" s="2483"/>
      <c r="D59" s="2487">
        <f t="shared" si="4"/>
        <v>2017</v>
      </c>
      <c r="E59" s="2487"/>
      <c r="F59" s="2487"/>
      <c r="G59" s="2487"/>
      <c r="H59" s="2487" t="s">
        <v>302</v>
      </c>
      <c r="I59" s="2487"/>
      <c r="J59" s="2487"/>
      <c r="K59" s="2487"/>
      <c r="L59" s="2487"/>
      <c r="M59" s="2487"/>
      <c r="N59" s="2487"/>
      <c r="O59" s="2487"/>
      <c r="P59" s="2488">
        <v>60000</v>
      </c>
      <c r="Q59" s="2489"/>
      <c r="R59" s="2489"/>
      <c r="S59" s="2489"/>
      <c r="T59" s="2284">
        <f>ROUND(IPMT(($AA$3%+0.35%)/11,1,$D$219-$D$52+1,$P$220-(SUM($P$4:P58)))*-1,2)</f>
        <v>23250</v>
      </c>
      <c r="U59" s="2284"/>
      <c r="V59" s="2284"/>
      <c r="W59" s="2284"/>
      <c r="X59" s="768"/>
      <c r="Y59" s="772"/>
      <c r="Z59" s="772"/>
      <c r="AA59" s="768"/>
    </row>
    <row r="60" spans="1:27">
      <c r="A60" s="2280">
        <v>57</v>
      </c>
      <c r="B60" s="2483"/>
      <c r="C60" s="2483"/>
      <c r="D60" s="2487">
        <f t="shared" si="4"/>
        <v>2017</v>
      </c>
      <c r="E60" s="2487"/>
      <c r="F60" s="2487"/>
      <c r="G60" s="2487"/>
      <c r="H60" s="2487" t="s">
        <v>303</v>
      </c>
      <c r="I60" s="2487"/>
      <c r="J60" s="2487"/>
      <c r="K60" s="2487"/>
      <c r="L60" s="2487"/>
      <c r="M60" s="2487"/>
      <c r="N60" s="2487"/>
      <c r="O60" s="2487"/>
      <c r="P60" s="2488">
        <v>60000</v>
      </c>
      <c r="Q60" s="2489"/>
      <c r="R60" s="2489"/>
      <c r="S60" s="2489"/>
      <c r="T60" s="2284">
        <f>ROUND(IPMT(($AA$3%+0.35%)/11,1,$D$219-$D$52+1,$P$220-(SUM($P$4:P59)))*-1,2)</f>
        <v>23100</v>
      </c>
      <c r="U60" s="2284"/>
      <c r="V60" s="2284"/>
      <c r="W60" s="2284"/>
      <c r="X60" s="768"/>
      <c r="Y60" s="772"/>
      <c r="Z60" s="772"/>
      <c r="AA60" s="768"/>
    </row>
    <row r="61" spans="1:27">
      <c r="A61" s="2280">
        <v>58</v>
      </c>
      <c r="B61" s="2483"/>
      <c r="C61" s="2483"/>
      <c r="D61" s="2487">
        <f t="shared" si="4"/>
        <v>2017</v>
      </c>
      <c r="E61" s="2487"/>
      <c r="F61" s="2487"/>
      <c r="G61" s="2487"/>
      <c r="H61" s="2487" t="s">
        <v>304</v>
      </c>
      <c r="I61" s="2487"/>
      <c r="J61" s="2487"/>
      <c r="K61" s="2487"/>
      <c r="L61" s="2487"/>
      <c r="M61" s="2487"/>
      <c r="N61" s="2487"/>
      <c r="O61" s="2487"/>
      <c r="P61" s="2488">
        <v>60000</v>
      </c>
      <c r="Q61" s="2489"/>
      <c r="R61" s="2489"/>
      <c r="S61" s="2489"/>
      <c r="T61" s="2284">
        <f>ROUND(IPMT(($AA$3%+0.35%)/11,1,$D$219-$D$52+1,$P$220-(SUM($P$4:P60)))*-1,2)</f>
        <v>22950</v>
      </c>
      <c r="U61" s="2284"/>
      <c r="V61" s="2284"/>
      <c r="W61" s="2284"/>
      <c r="X61" s="768"/>
      <c r="Y61" s="772"/>
      <c r="Z61" s="772"/>
      <c r="AA61" s="768"/>
    </row>
    <row r="62" spans="1:27">
      <c r="A62" s="2280">
        <v>59</v>
      </c>
      <c r="B62" s="2483"/>
      <c r="C62" s="2483"/>
      <c r="D62" s="2487">
        <f t="shared" si="4"/>
        <v>2017</v>
      </c>
      <c r="E62" s="2487"/>
      <c r="F62" s="2487"/>
      <c r="G62" s="2487"/>
      <c r="H62" s="2487" t="s">
        <v>305</v>
      </c>
      <c r="I62" s="2487"/>
      <c r="J62" s="2487"/>
      <c r="K62" s="2487"/>
      <c r="L62" s="2487"/>
      <c r="M62" s="2487"/>
      <c r="N62" s="2487"/>
      <c r="O62" s="2487"/>
      <c r="P62" s="2488">
        <v>60000</v>
      </c>
      <c r="Q62" s="2489"/>
      <c r="R62" s="2489"/>
      <c r="S62" s="2489"/>
      <c r="T62" s="2284">
        <f>ROUND(IPMT(($AA$3%+0.35%)/11,1,$D$219-$D$52+1,$P$220-(SUM($P$4:P61)))*-1,2)</f>
        <v>22800</v>
      </c>
      <c r="U62" s="2284"/>
      <c r="V62" s="2284"/>
      <c r="W62" s="2284"/>
      <c r="X62" s="768"/>
      <c r="Y62" s="772"/>
      <c r="Z62" s="772"/>
      <c r="AA62" s="768"/>
    </row>
    <row r="63" spans="1:27">
      <c r="A63" s="2280">
        <v>60</v>
      </c>
      <c r="B63" s="2483"/>
      <c r="C63" s="2483"/>
      <c r="D63" s="2487">
        <f t="shared" si="4"/>
        <v>2017</v>
      </c>
      <c r="E63" s="2487"/>
      <c r="F63" s="2487"/>
      <c r="G63" s="2487"/>
      <c r="H63" s="2487" t="s">
        <v>306</v>
      </c>
      <c r="I63" s="2487"/>
      <c r="J63" s="2487"/>
      <c r="K63" s="2487"/>
      <c r="L63" s="2487"/>
      <c r="M63" s="2487"/>
      <c r="N63" s="2487"/>
      <c r="O63" s="2487"/>
      <c r="P63" s="2488">
        <v>60000</v>
      </c>
      <c r="Q63" s="2489"/>
      <c r="R63" s="2489"/>
      <c r="S63" s="2489"/>
      <c r="T63" s="2284">
        <f>ROUND(IPMT(($AA$3%+0.35%)/11,1,$D$219-$D$52+1,$P$220-(SUM($P$4:P62)))*-1,2)</f>
        <v>22650</v>
      </c>
      <c r="U63" s="2284"/>
      <c r="V63" s="2284"/>
      <c r="W63" s="2284"/>
      <c r="X63" s="768"/>
      <c r="Y63" s="2494">
        <f>SUM(T52:W63)</f>
        <v>281700</v>
      </c>
      <c r="Z63" s="2495"/>
      <c r="AA63" s="768"/>
    </row>
    <row r="64" spans="1:27">
      <c r="A64" s="2496">
        <v>13</v>
      </c>
      <c r="B64" s="2497"/>
      <c r="C64" s="2497"/>
      <c r="D64" s="2498">
        <f>D52+1</f>
        <v>2018</v>
      </c>
      <c r="E64" s="2498"/>
      <c r="F64" s="2498"/>
      <c r="G64" s="2498"/>
      <c r="H64" s="2498" t="s">
        <v>295</v>
      </c>
      <c r="I64" s="2498"/>
      <c r="J64" s="2498"/>
      <c r="K64" s="2498"/>
      <c r="L64" s="2498"/>
      <c r="M64" s="2498"/>
      <c r="N64" s="2498"/>
      <c r="O64" s="2498"/>
      <c r="P64" s="2499">
        <v>60000</v>
      </c>
      <c r="Q64" s="2500"/>
      <c r="R64" s="2500"/>
      <c r="S64" s="2500"/>
      <c r="T64" s="2501">
        <f>ROUND(IPMT(($AA$3%+0.35%)/11,1,$D$219-$D$52+1,$P$220-(SUM($P$4:P63)))*-1,2)</f>
        <v>22500</v>
      </c>
      <c r="U64" s="2501"/>
      <c r="V64" s="2501"/>
      <c r="W64" s="2501"/>
      <c r="X64" s="768"/>
      <c r="Y64" s="772"/>
      <c r="Z64" s="772"/>
      <c r="AA64" s="768"/>
    </row>
    <row r="65" spans="1:27">
      <c r="A65" s="2280">
        <v>14</v>
      </c>
      <c r="B65" s="2483"/>
      <c r="C65" s="2483"/>
      <c r="D65" s="2487">
        <f>$D$64</f>
        <v>2018</v>
      </c>
      <c r="E65" s="2487"/>
      <c r="F65" s="2487"/>
      <c r="G65" s="2487"/>
      <c r="H65" s="2487" t="s">
        <v>296</v>
      </c>
      <c r="I65" s="2487"/>
      <c r="J65" s="2487"/>
      <c r="K65" s="2487"/>
      <c r="L65" s="2487"/>
      <c r="M65" s="2487"/>
      <c r="N65" s="2487"/>
      <c r="O65" s="2487"/>
      <c r="P65" s="2488">
        <v>60000</v>
      </c>
      <c r="Q65" s="2489"/>
      <c r="R65" s="2489"/>
      <c r="S65" s="2489"/>
      <c r="T65" s="2284">
        <f>ROUND(IPMT(($AA$3%+0.35%)/11,1,$D$219-$D$64+1,$P$220-(SUM($P$4:P64)))*-1,2)</f>
        <v>22350</v>
      </c>
      <c r="U65" s="2284"/>
      <c r="V65" s="2284"/>
      <c r="W65" s="2284"/>
      <c r="X65" s="768"/>
      <c r="Y65" s="772"/>
      <c r="Z65" s="772"/>
      <c r="AA65" s="768"/>
    </row>
    <row r="66" spans="1:27">
      <c r="A66" s="2280">
        <v>15</v>
      </c>
      <c r="B66" s="2483"/>
      <c r="C66" s="2483"/>
      <c r="D66" s="2487">
        <f t="shared" ref="D66:D75" si="5">$D$64</f>
        <v>2018</v>
      </c>
      <c r="E66" s="2487"/>
      <c r="F66" s="2487"/>
      <c r="G66" s="2487"/>
      <c r="H66" s="2487" t="s">
        <v>297</v>
      </c>
      <c r="I66" s="2487"/>
      <c r="J66" s="2487"/>
      <c r="K66" s="2487"/>
      <c r="L66" s="2487"/>
      <c r="M66" s="2487"/>
      <c r="N66" s="2487"/>
      <c r="O66" s="2487"/>
      <c r="P66" s="2488">
        <v>60000</v>
      </c>
      <c r="Q66" s="2489"/>
      <c r="R66" s="2489"/>
      <c r="S66" s="2489"/>
      <c r="T66" s="2284">
        <f>ROUND(IPMT(($AA$3%+0.35%)/11,1,$D$219-$D$64+1,$P$220-(SUM($P$4:P65)))*-1,2)</f>
        <v>22200</v>
      </c>
      <c r="U66" s="2284"/>
      <c r="V66" s="2284"/>
      <c r="W66" s="2284"/>
      <c r="X66" s="768"/>
      <c r="Y66" s="772"/>
      <c r="Z66" s="772"/>
      <c r="AA66" s="768"/>
    </row>
    <row r="67" spans="1:27">
      <c r="A67" s="2280">
        <v>16</v>
      </c>
      <c r="B67" s="2483"/>
      <c r="C67" s="2483"/>
      <c r="D67" s="2487">
        <f t="shared" si="5"/>
        <v>2018</v>
      </c>
      <c r="E67" s="2487"/>
      <c r="F67" s="2487"/>
      <c r="G67" s="2487"/>
      <c r="H67" s="2487" t="s">
        <v>298</v>
      </c>
      <c r="I67" s="2487"/>
      <c r="J67" s="2487"/>
      <c r="K67" s="2487"/>
      <c r="L67" s="2487"/>
      <c r="M67" s="2487"/>
      <c r="N67" s="2487"/>
      <c r="O67" s="2487"/>
      <c r="P67" s="2488">
        <v>60000</v>
      </c>
      <c r="Q67" s="2489"/>
      <c r="R67" s="2489"/>
      <c r="S67" s="2489"/>
      <c r="T67" s="2284">
        <f>ROUND(IPMT(($AA$3%+0.35%)/11,1,$D$219-$D$64+1,$P$220-(SUM($P$4:P66)))*-1,2)</f>
        <v>22050</v>
      </c>
      <c r="U67" s="2284"/>
      <c r="V67" s="2284"/>
      <c r="W67" s="2284"/>
      <c r="X67" s="768"/>
      <c r="Y67" s="772"/>
      <c r="Z67" s="772"/>
      <c r="AA67" s="768"/>
    </row>
    <row r="68" spans="1:27">
      <c r="A68" s="2280">
        <v>17</v>
      </c>
      <c r="B68" s="2483"/>
      <c r="C68" s="2483"/>
      <c r="D68" s="2487">
        <f t="shared" si="5"/>
        <v>2018</v>
      </c>
      <c r="E68" s="2487"/>
      <c r="F68" s="2487"/>
      <c r="G68" s="2487"/>
      <c r="H68" s="2487" t="s">
        <v>299</v>
      </c>
      <c r="I68" s="2487"/>
      <c r="J68" s="2487"/>
      <c r="K68" s="2487"/>
      <c r="L68" s="2487"/>
      <c r="M68" s="2487"/>
      <c r="N68" s="2487"/>
      <c r="O68" s="2487"/>
      <c r="P68" s="2488">
        <v>60000</v>
      </c>
      <c r="Q68" s="2489"/>
      <c r="R68" s="2489"/>
      <c r="S68" s="2489"/>
      <c r="T68" s="2284">
        <f>ROUND(IPMT(($AA$3%+0.35%)/11,1,$D$219-$D$64+1,$P$220-(SUM($P$4:P67)))*-1,2)</f>
        <v>21900</v>
      </c>
      <c r="U68" s="2284"/>
      <c r="V68" s="2284"/>
      <c r="W68" s="2284"/>
      <c r="X68" s="768"/>
      <c r="Y68" s="772"/>
      <c r="Z68" s="772"/>
      <c r="AA68" s="768"/>
    </row>
    <row r="69" spans="1:27">
      <c r="A69" s="2280">
        <v>18</v>
      </c>
      <c r="B69" s="2483"/>
      <c r="C69" s="2483"/>
      <c r="D69" s="2487">
        <f t="shared" si="5"/>
        <v>2018</v>
      </c>
      <c r="E69" s="2487"/>
      <c r="F69" s="2487"/>
      <c r="G69" s="2487"/>
      <c r="H69" s="2487" t="s">
        <v>300</v>
      </c>
      <c r="I69" s="2487"/>
      <c r="J69" s="2487"/>
      <c r="K69" s="2487"/>
      <c r="L69" s="2487"/>
      <c r="M69" s="2487"/>
      <c r="N69" s="2487"/>
      <c r="O69" s="2487"/>
      <c r="P69" s="2488">
        <v>60000</v>
      </c>
      <c r="Q69" s="2489"/>
      <c r="R69" s="2489"/>
      <c r="S69" s="2489"/>
      <c r="T69" s="2284">
        <f>ROUND(IPMT(($AA$3%+0.35%)/11,1,$D$219-$D$64+1,$P$220-(SUM($P$4:P68)))*-1,2)</f>
        <v>21750</v>
      </c>
      <c r="U69" s="2284"/>
      <c r="V69" s="2284"/>
      <c r="W69" s="2284"/>
      <c r="X69" s="768"/>
      <c r="Y69" s="772"/>
      <c r="Z69" s="772"/>
      <c r="AA69" s="768"/>
    </row>
    <row r="70" spans="1:27">
      <c r="A70" s="2280">
        <v>19</v>
      </c>
      <c r="B70" s="2483"/>
      <c r="C70" s="2483"/>
      <c r="D70" s="2487">
        <f t="shared" si="5"/>
        <v>2018</v>
      </c>
      <c r="E70" s="2487"/>
      <c r="F70" s="2487"/>
      <c r="G70" s="2487"/>
      <c r="H70" s="2487" t="s">
        <v>301</v>
      </c>
      <c r="I70" s="2487"/>
      <c r="J70" s="2487"/>
      <c r="K70" s="2487"/>
      <c r="L70" s="2487"/>
      <c r="M70" s="2487"/>
      <c r="N70" s="2487"/>
      <c r="O70" s="2487"/>
      <c r="P70" s="2488">
        <v>60000</v>
      </c>
      <c r="Q70" s="2489"/>
      <c r="R70" s="2489"/>
      <c r="S70" s="2489"/>
      <c r="T70" s="2284">
        <f>ROUND(IPMT(($AA$3%+0.35%)/11,1,$D$219-$D$64+1,$P$220-(SUM($P$4:P69)))*-1,2)</f>
        <v>21600</v>
      </c>
      <c r="U70" s="2284"/>
      <c r="V70" s="2284"/>
      <c r="W70" s="2284"/>
      <c r="X70" s="768"/>
      <c r="Y70" s="772"/>
      <c r="Z70" s="772"/>
      <c r="AA70" s="768"/>
    </row>
    <row r="71" spans="1:27">
      <c r="A71" s="2280">
        <v>20</v>
      </c>
      <c r="B71" s="2483"/>
      <c r="C71" s="2483"/>
      <c r="D71" s="2487">
        <f t="shared" si="5"/>
        <v>2018</v>
      </c>
      <c r="E71" s="2487"/>
      <c r="F71" s="2487"/>
      <c r="G71" s="2487"/>
      <c r="H71" s="2487" t="s">
        <v>302</v>
      </c>
      <c r="I71" s="2487"/>
      <c r="J71" s="2487"/>
      <c r="K71" s="2487"/>
      <c r="L71" s="2487"/>
      <c r="M71" s="2487"/>
      <c r="N71" s="2487"/>
      <c r="O71" s="2487"/>
      <c r="P71" s="2488">
        <v>60000</v>
      </c>
      <c r="Q71" s="2489"/>
      <c r="R71" s="2489"/>
      <c r="S71" s="2489"/>
      <c r="T71" s="2284">
        <f>ROUND(IPMT(($AA$3%+0.35%)/11,1,$D$219-$D$64+1,$P$220-(SUM($P$4:P70)))*-1,2)</f>
        <v>21450</v>
      </c>
      <c r="U71" s="2284"/>
      <c r="V71" s="2284"/>
      <c r="W71" s="2284"/>
      <c r="X71" s="768"/>
      <c r="Y71" s="772"/>
      <c r="Z71" s="772"/>
      <c r="AA71" s="768"/>
    </row>
    <row r="72" spans="1:27">
      <c r="A72" s="2280">
        <v>21</v>
      </c>
      <c r="B72" s="2483"/>
      <c r="C72" s="2483"/>
      <c r="D72" s="2487">
        <f t="shared" si="5"/>
        <v>2018</v>
      </c>
      <c r="E72" s="2487"/>
      <c r="F72" s="2487"/>
      <c r="G72" s="2487"/>
      <c r="H72" s="2487" t="s">
        <v>303</v>
      </c>
      <c r="I72" s="2487"/>
      <c r="J72" s="2487"/>
      <c r="K72" s="2487"/>
      <c r="L72" s="2487"/>
      <c r="M72" s="2487"/>
      <c r="N72" s="2487"/>
      <c r="O72" s="2487"/>
      <c r="P72" s="2488">
        <v>60000</v>
      </c>
      <c r="Q72" s="2489"/>
      <c r="R72" s="2489"/>
      <c r="S72" s="2489"/>
      <c r="T72" s="2284">
        <f>ROUND(IPMT(($AA$3%+0.35%)/11,1,$D$219-$D$64+1,$P$220-(SUM($P$4:P71)))*-1,2)</f>
        <v>21300</v>
      </c>
      <c r="U72" s="2284"/>
      <c r="V72" s="2284"/>
      <c r="W72" s="2284"/>
      <c r="X72" s="768"/>
      <c r="Y72" s="772"/>
      <c r="Z72" s="772"/>
      <c r="AA72" s="768"/>
    </row>
    <row r="73" spans="1:27">
      <c r="A73" s="2280">
        <v>22</v>
      </c>
      <c r="B73" s="2483"/>
      <c r="C73" s="2483"/>
      <c r="D73" s="2487">
        <f t="shared" si="5"/>
        <v>2018</v>
      </c>
      <c r="E73" s="2487"/>
      <c r="F73" s="2487"/>
      <c r="G73" s="2487"/>
      <c r="H73" s="2487" t="s">
        <v>304</v>
      </c>
      <c r="I73" s="2487"/>
      <c r="J73" s="2487"/>
      <c r="K73" s="2487"/>
      <c r="L73" s="2487"/>
      <c r="M73" s="2487"/>
      <c r="N73" s="2487"/>
      <c r="O73" s="2487"/>
      <c r="P73" s="2488">
        <v>60000</v>
      </c>
      <c r="Q73" s="2489"/>
      <c r="R73" s="2489"/>
      <c r="S73" s="2489"/>
      <c r="T73" s="2284">
        <f>ROUND(IPMT(($AA$3%+0.35%)/11,1,$D$219-$D$64+1,$P$220-(SUM($P$4:P72)))*-1,2)</f>
        <v>21150</v>
      </c>
      <c r="U73" s="2284"/>
      <c r="V73" s="2284"/>
      <c r="W73" s="2284"/>
      <c r="X73" s="768"/>
      <c r="Y73" s="772"/>
      <c r="Z73" s="772"/>
      <c r="AA73" s="768"/>
    </row>
    <row r="74" spans="1:27">
      <c r="A74" s="2280">
        <v>23</v>
      </c>
      <c r="B74" s="2483"/>
      <c r="C74" s="2483"/>
      <c r="D74" s="2487">
        <f t="shared" si="5"/>
        <v>2018</v>
      </c>
      <c r="E74" s="2487"/>
      <c r="F74" s="2487"/>
      <c r="G74" s="2487"/>
      <c r="H74" s="2487" t="s">
        <v>305</v>
      </c>
      <c r="I74" s="2487"/>
      <c r="J74" s="2487"/>
      <c r="K74" s="2487"/>
      <c r="L74" s="2487"/>
      <c r="M74" s="2487"/>
      <c r="N74" s="2487"/>
      <c r="O74" s="2487"/>
      <c r="P74" s="2488">
        <v>60000</v>
      </c>
      <c r="Q74" s="2489"/>
      <c r="R74" s="2489"/>
      <c r="S74" s="2489"/>
      <c r="T74" s="2284">
        <f>ROUND(IPMT(($AA$3%+0.35%)/11,1,$D$219-$D$64+1,$P$220-(SUM($P$4:P73)))*-1,2)</f>
        <v>21000</v>
      </c>
      <c r="U74" s="2284"/>
      <c r="V74" s="2284"/>
      <c r="W74" s="2284"/>
      <c r="X74" s="768"/>
      <c r="Y74" s="772"/>
      <c r="Z74" s="772"/>
      <c r="AA74" s="768"/>
    </row>
    <row r="75" spans="1:27">
      <c r="A75" s="2280">
        <v>24</v>
      </c>
      <c r="B75" s="2483"/>
      <c r="C75" s="2483"/>
      <c r="D75" s="2487">
        <f t="shared" si="5"/>
        <v>2018</v>
      </c>
      <c r="E75" s="2487"/>
      <c r="F75" s="2487"/>
      <c r="G75" s="2487"/>
      <c r="H75" s="2487" t="s">
        <v>306</v>
      </c>
      <c r="I75" s="2487"/>
      <c r="J75" s="2487"/>
      <c r="K75" s="2487"/>
      <c r="L75" s="2487"/>
      <c r="M75" s="2487"/>
      <c r="N75" s="2487"/>
      <c r="O75" s="2487"/>
      <c r="P75" s="2488">
        <v>60000</v>
      </c>
      <c r="Q75" s="2489"/>
      <c r="R75" s="2489"/>
      <c r="S75" s="2489"/>
      <c r="T75" s="2284">
        <f>ROUND(IPMT(($AA$3%+0.35%)/11,1,$D$219-$D$64+1,$P$220-(SUM($P$4:P74)))*-1,2)</f>
        <v>20850</v>
      </c>
      <c r="U75" s="2284"/>
      <c r="V75" s="2284"/>
      <c r="W75" s="2284"/>
      <c r="X75" s="768"/>
      <c r="Y75" s="2494">
        <f>SUM(T64:W75)</f>
        <v>260100</v>
      </c>
      <c r="Z75" s="2495"/>
      <c r="AA75" s="768"/>
    </row>
    <row r="76" spans="1:27">
      <c r="A76" s="2496">
        <v>13</v>
      </c>
      <c r="B76" s="2497"/>
      <c r="C76" s="2497"/>
      <c r="D76" s="2498">
        <f>D64+1</f>
        <v>2019</v>
      </c>
      <c r="E76" s="2498"/>
      <c r="F76" s="2498"/>
      <c r="G76" s="2498"/>
      <c r="H76" s="2498" t="s">
        <v>295</v>
      </c>
      <c r="I76" s="2498"/>
      <c r="J76" s="2498"/>
      <c r="K76" s="2498"/>
      <c r="L76" s="2498"/>
      <c r="M76" s="2498"/>
      <c r="N76" s="2498"/>
      <c r="O76" s="2498"/>
      <c r="P76" s="2499">
        <v>60000</v>
      </c>
      <c r="Q76" s="2500"/>
      <c r="R76" s="2500"/>
      <c r="S76" s="2500"/>
      <c r="T76" s="2501">
        <f>ROUND(IPMT(($AA$3%+0.35%)/11,1,$D$219-$D$64+1,$P$220-(SUM($P$4:P75)))*-1,2)</f>
        <v>20700</v>
      </c>
      <c r="U76" s="2501"/>
      <c r="V76" s="2501"/>
      <c r="W76" s="2501"/>
      <c r="X76" s="768"/>
      <c r="Y76" s="772"/>
      <c r="Z76" s="772"/>
      <c r="AA76" s="768"/>
    </row>
    <row r="77" spans="1:27">
      <c r="A77" s="2280">
        <v>14</v>
      </c>
      <c r="B77" s="2483"/>
      <c r="C77" s="2483"/>
      <c r="D77" s="2487">
        <f>$D$76</f>
        <v>2019</v>
      </c>
      <c r="E77" s="2487"/>
      <c r="F77" s="2487"/>
      <c r="G77" s="2487"/>
      <c r="H77" s="2487" t="s">
        <v>296</v>
      </c>
      <c r="I77" s="2487"/>
      <c r="J77" s="2487"/>
      <c r="K77" s="2487"/>
      <c r="L77" s="2487"/>
      <c r="M77" s="2487"/>
      <c r="N77" s="2487"/>
      <c r="O77" s="2487"/>
      <c r="P77" s="2488">
        <v>60000</v>
      </c>
      <c r="Q77" s="2489"/>
      <c r="R77" s="2489"/>
      <c r="S77" s="2489"/>
      <c r="T77" s="2284">
        <f>ROUND(IPMT(($AA$3%+0.35%)/11,1,$D$219-$D$76+1,$P$220-(SUM($P$4:P76)))*-1,2)</f>
        <v>20550</v>
      </c>
      <c r="U77" s="2284"/>
      <c r="V77" s="2284"/>
      <c r="W77" s="2284"/>
      <c r="X77" s="768"/>
      <c r="Y77" s="772"/>
      <c r="Z77" s="772"/>
      <c r="AA77" s="768"/>
    </row>
    <row r="78" spans="1:27">
      <c r="A78" s="2280">
        <v>15</v>
      </c>
      <c r="B78" s="2483"/>
      <c r="C78" s="2483"/>
      <c r="D78" s="2487">
        <f t="shared" ref="D78:D87" si="6">$D$76</f>
        <v>2019</v>
      </c>
      <c r="E78" s="2487"/>
      <c r="F78" s="2487"/>
      <c r="G78" s="2487"/>
      <c r="H78" s="2487" t="s">
        <v>297</v>
      </c>
      <c r="I78" s="2487"/>
      <c r="J78" s="2487"/>
      <c r="K78" s="2487"/>
      <c r="L78" s="2487"/>
      <c r="M78" s="2487"/>
      <c r="N78" s="2487"/>
      <c r="O78" s="2487"/>
      <c r="P78" s="2488">
        <v>60000</v>
      </c>
      <c r="Q78" s="2489"/>
      <c r="R78" s="2489"/>
      <c r="S78" s="2489"/>
      <c r="T78" s="2284">
        <f>ROUND(IPMT(($AA$3%+0.35%)/11,1,$D$219-$D$76+1,$P$220-(SUM($P$4:P77)))*-1,2)</f>
        <v>20400</v>
      </c>
      <c r="U78" s="2284"/>
      <c r="V78" s="2284"/>
      <c r="W78" s="2284"/>
      <c r="X78" s="768"/>
      <c r="Y78" s="772"/>
      <c r="Z78" s="772"/>
      <c r="AA78" s="768"/>
    </row>
    <row r="79" spans="1:27">
      <c r="A79" s="2280">
        <v>16</v>
      </c>
      <c r="B79" s="2483"/>
      <c r="C79" s="2483"/>
      <c r="D79" s="2487">
        <f t="shared" si="6"/>
        <v>2019</v>
      </c>
      <c r="E79" s="2487"/>
      <c r="F79" s="2487"/>
      <c r="G79" s="2487"/>
      <c r="H79" s="2487" t="s">
        <v>298</v>
      </c>
      <c r="I79" s="2487"/>
      <c r="J79" s="2487"/>
      <c r="K79" s="2487"/>
      <c r="L79" s="2487"/>
      <c r="M79" s="2487"/>
      <c r="N79" s="2487"/>
      <c r="O79" s="2487"/>
      <c r="P79" s="2488">
        <v>60000</v>
      </c>
      <c r="Q79" s="2489"/>
      <c r="R79" s="2489"/>
      <c r="S79" s="2489"/>
      <c r="T79" s="2284">
        <f>ROUND(IPMT(($AA$3%+0.35%)/11,1,$D$219-$D$76+1,$P$220-(SUM($P$4:P78)))*-1,2)</f>
        <v>20250</v>
      </c>
      <c r="U79" s="2284"/>
      <c r="V79" s="2284"/>
      <c r="W79" s="2284"/>
      <c r="X79" s="768"/>
      <c r="Y79" s="772"/>
      <c r="Z79" s="772"/>
      <c r="AA79" s="768"/>
    </row>
    <row r="80" spans="1:27">
      <c r="A80" s="2280">
        <v>17</v>
      </c>
      <c r="B80" s="2483"/>
      <c r="C80" s="2483"/>
      <c r="D80" s="2487">
        <f t="shared" si="6"/>
        <v>2019</v>
      </c>
      <c r="E80" s="2487"/>
      <c r="F80" s="2487"/>
      <c r="G80" s="2487"/>
      <c r="H80" s="2487" t="s">
        <v>299</v>
      </c>
      <c r="I80" s="2487"/>
      <c r="J80" s="2487"/>
      <c r="K80" s="2487"/>
      <c r="L80" s="2487"/>
      <c r="M80" s="2487"/>
      <c r="N80" s="2487"/>
      <c r="O80" s="2487"/>
      <c r="P80" s="2488">
        <v>60000</v>
      </c>
      <c r="Q80" s="2489"/>
      <c r="R80" s="2489"/>
      <c r="S80" s="2489"/>
      <c r="T80" s="2284">
        <f>ROUND(IPMT(($AA$3%+0.35%)/11,1,$D$219-$D$76+1,$P$220-(SUM($P$4:P79)))*-1,2)</f>
        <v>20100</v>
      </c>
      <c r="U80" s="2284"/>
      <c r="V80" s="2284"/>
      <c r="W80" s="2284"/>
      <c r="X80" s="768"/>
      <c r="Y80" s="772"/>
      <c r="Z80" s="772"/>
      <c r="AA80" s="768"/>
    </row>
    <row r="81" spans="1:27">
      <c r="A81" s="2280">
        <v>18</v>
      </c>
      <c r="B81" s="2483"/>
      <c r="C81" s="2483"/>
      <c r="D81" s="2487">
        <f t="shared" si="6"/>
        <v>2019</v>
      </c>
      <c r="E81" s="2487"/>
      <c r="F81" s="2487"/>
      <c r="G81" s="2487"/>
      <c r="H81" s="2487" t="s">
        <v>300</v>
      </c>
      <c r="I81" s="2487"/>
      <c r="J81" s="2487"/>
      <c r="K81" s="2487"/>
      <c r="L81" s="2487"/>
      <c r="M81" s="2487"/>
      <c r="N81" s="2487"/>
      <c r="O81" s="2487"/>
      <c r="P81" s="2488">
        <v>60000</v>
      </c>
      <c r="Q81" s="2489"/>
      <c r="R81" s="2489"/>
      <c r="S81" s="2489"/>
      <c r="T81" s="2284">
        <f>ROUND(IPMT(($AA$3%+0.35%)/11,1,$D$219-$D$76+1,$P$220-(SUM($P$4:P80)))*-1,2)</f>
        <v>19950</v>
      </c>
      <c r="U81" s="2284"/>
      <c r="V81" s="2284"/>
      <c r="W81" s="2284"/>
      <c r="X81" s="768"/>
      <c r="Y81" s="772"/>
      <c r="Z81" s="772"/>
      <c r="AA81" s="768"/>
    </row>
    <row r="82" spans="1:27">
      <c r="A82" s="2280">
        <v>19</v>
      </c>
      <c r="B82" s="2483"/>
      <c r="C82" s="2483"/>
      <c r="D82" s="2487">
        <f t="shared" si="6"/>
        <v>2019</v>
      </c>
      <c r="E82" s="2487"/>
      <c r="F82" s="2487"/>
      <c r="G82" s="2487"/>
      <c r="H82" s="2487" t="s">
        <v>301</v>
      </c>
      <c r="I82" s="2487"/>
      <c r="J82" s="2487"/>
      <c r="K82" s="2487"/>
      <c r="L82" s="2487"/>
      <c r="M82" s="2487"/>
      <c r="N82" s="2487"/>
      <c r="O82" s="2487"/>
      <c r="P82" s="2488">
        <v>60000</v>
      </c>
      <c r="Q82" s="2489"/>
      <c r="R82" s="2489"/>
      <c r="S82" s="2489"/>
      <c r="T82" s="2284">
        <f>ROUND(IPMT(($AA$3%+0.35%)/11,1,$D$219-$D$76+1,$P$220-(SUM($P$4:P81)))*-1,2)</f>
        <v>19800</v>
      </c>
      <c r="U82" s="2284"/>
      <c r="V82" s="2284"/>
      <c r="W82" s="2284"/>
      <c r="X82" s="768"/>
      <c r="Y82" s="772"/>
      <c r="Z82" s="772"/>
      <c r="AA82" s="768"/>
    </row>
    <row r="83" spans="1:27">
      <c r="A83" s="2280">
        <v>20</v>
      </c>
      <c r="B83" s="2483"/>
      <c r="C83" s="2483"/>
      <c r="D83" s="2487">
        <f t="shared" si="6"/>
        <v>2019</v>
      </c>
      <c r="E83" s="2487"/>
      <c r="F83" s="2487"/>
      <c r="G83" s="2487"/>
      <c r="H83" s="2487" t="s">
        <v>302</v>
      </c>
      <c r="I83" s="2487"/>
      <c r="J83" s="2487"/>
      <c r="K83" s="2487"/>
      <c r="L83" s="2487"/>
      <c r="M83" s="2487"/>
      <c r="N83" s="2487"/>
      <c r="O83" s="2487"/>
      <c r="P83" s="2488">
        <v>60000</v>
      </c>
      <c r="Q83" s="2489"/>
      <c r="R83" s="2489"/>
      <c r="S83" s="2489"/>
      <c r="T83" s="2284">
        <f>ROUND(IPMT(($AA$3%+0.35%)/11,1,$D$219-$D$76+1,$P$220-(SUM($P$4:P82)))*-1,2)</f>
        <v>19650</v>
      </c>
      <c r="U83" s="2284"/>
      <c r="V83" s="2284"/>
      <c r="W83" s="2284"/>
      <c r="X83" s="768"/>
      <c r="Y83" s="772"/>
      <c r="Z83" s="772"/>
      <c r="AA83" s="768"/>
    </row>
    <row r="84" spans="1:27">
      <c r="A84" s="2280">
        <v>21</v>
      </c>
      <c r="B84" s="2483"/>
      <c r="C84" s="2483"/>
      <c r="D84" s="2487">
        <f t="shared" si="6"/>
        <v>2019</v>
      </c>
      <c r="E84" s="2487"/>
      <c r="F84" s="2487"/>
      <c r="G84" s="2487"/>
      <c r="H84" s="2487" t="s">
        <v>303</v>
      </c>
      <c r="I84" s="2487"/>
      <c r="J84" s="2487"/>
      <c r="K84" s="2487"/>
      <c r="L84" s="2487"/>
      <c r="M84" s="2487"/>
      <c r="N84" s="2487"/>
      <c r="O84" s="2487"/>
      <c r="P84" s="2488">
        <v>60000</v>
      </c>
      <c r="Q84" s="2489"/>
      <c r="R84" s="2489"/>
      <c r="S84" s="2489"/>
      <c r="T84" s="2284">
        <f>ROUND(IPMT(($AA$3%+0.35%)/11,1,$D$219-$D$76+1,$P$220-(SUM($P$4:P83)))*-1,2)</f>
        <v>19500</v>
      </c>
      <c r="U84" s="2284"/>
      <c r="V84" s="2284"/>
      <c r="W84" s="2284"/>
      <c r="X84" s="768"/>
      <c r="Y84" s="772"/>
      <c r="Z84" s="772"/>
      <c r="AA84" s="768"/>
    </row>
    <row r="85" spans="1:27">
      <c r="A85" s="2280">
        <v>22</v>
      </c>
      <c r="B85" s="2483"/>
      <c r="C85" s="2483"/>
      <c r="D85" s="2487">
        <f t="shared" si="6"/>
        <v>2019</v>
      </c>
      <c r="E85" s="2487"/>
      <c r="F85" s="2487"/>
      <c r="G85" s="2487"/>
      <c r="H85" s="2487" t="s">
        <v>304</v>
      </c>
      <c r="I85" s="2487"/>
      <c r="J85" s="2487"/>
      <c r="K85" s="2487"/>
      <c r="L85" s="2487"/>
      <c r="M85" s="2487"/>
      <c r="N85" s="2487"/>
      <c r="O85" s="2487"/>
      <c r="P85" s="2488">
        <v>60000</v>
      </c>
      <c r="Q85" s="2489"/>
      <c r="R85" s="2489"/>
      <c r="S85" s="2489"/>
      <c r="T85" s="2284">
        <f>ROUND(IPMT(($AA$3%+0.35%)/11,1,$D$219-$D$76+1,$P$220-(SUM($P$4:P84)))*-1,2)</f>
        <v>19350</v>
      </c>
      <c r="U85" s="2284"/>
      <c r="V85" s="2284"/>
      <c r="W85" s="2284"/>
      <c r="X85" s="768"/>
      <c r="Y85" s="772"/>
      <c r="Z85" s="772"/>
      <c r="AA85" s="768"/>
    </row>
    <row r="86" spans="1:27">
      <c r="A86" s="2280">
        <v>23</v>
      </c>
      <c r="B86" s="2483"/>
      <c r="C86" s="2483"/>
      <c r="D86" s="2487">
        <f t="shared" si="6"/>
        <v>2019</v>
      </c>
      <c r="E86" s="2487"/>
      <c r="F86" s="2487"/>
      <c r="G86" s="2487"/>
      <c r="H86" s="2487" t="s">
        <v>305</v>
      </c>
      <c r="I86" s="2487"/>
      <c r="J86" s="2487"/>
      <c r="K86" s="2487"/>
      <c r="L86" s="2487"/>
      <c r="M86" s="2487"/>
      <c r="N86" s="2487"/>
      <c r="O86" s="2487"/>
      <c r="P86" s="2488">
        <v>60000</v>
      </c>
      <c r="Q86" s="2489"/>
      <c r="R86" s="2489"/>
      <c r="S86" s="2489"/>
      <c r="T86" s="2284">
        <f>ROUND(IPMT(($AA$3%+0.35%)/11,1,$D$219-$D$76+1,$P$220-(SUM($P$4:P85)))*-1,2)</f>
        <v>19200</v>
      </c>
      <c r="U86" s="2284"/>
      <c r="V86" s="2284"/>
      <c r="W86" s="2284"/>
      <c r="X86" s="768"/>
      <c r="Y86" s="772"/>
      <c r="Z86" s="772"/>
      <c r="AA86" s="768"/>
    </row>
    <row r="87" spans="1:27">
      <c r="A87" s="2280">
        <v>24</v>
      </c>
      <c r="B87" s="2483"/>
      <c r="C87" s="2483"/>
      <c r="D87" s="2487">
        <f t="shared" si="6"/>
        <v>2019</v>
      </c>
      <c r="E87" s="2487"/>
      <c r="F87" s="2487"/>
      <c r="G87" s="2487"/>
      <c r="H87" s="2487" t="s">
        <v>306</v>
      </c>
      <c r="I87" s="2487"/>
      <c r="J87" s="2487"/>
      <c r="K87" s="2487"/>
      <c r="L87" s="2487"/>
      <c r="M87" s="2487"/>
      <c r="N87" s="2487"/>
      <c r="O87" s="2487"/>
      <c r="P87" s="2488">
        <v>60000</v>
      </c>
      <c r="Q87" s="2489"/>
      <c r="R87" s="2489"/>
      <c r="S87" s="2489"/>
      <c r="T87" s="2284">
        <f>ROUND(IPMT(($AA$3%+0.35%)/11,1,$D$219-$D$76+1,$P$220-(SUM($P$4:P86)))*-1,2)</f>
        <v>19050</v>
      </c>
      <c r="U87" s="2284"/>
      <c r="V87" s="2284"/>
      <c r="W87" s="2284"/>
      <c r="X87" s="768"/>
      <c r="Y87" s="2494">
        <f>SUM(T76:W87)</f>
        <v>238500</v>
      </c>
      <c r="Z87" s="2495"/>
      <c r="AA87" s="768"/>
    </row>
    <row r="88" spans="1:27">
      <c r="A88" s="2496">
        <v>13</v>
      </c>
      <c r="B88" s="2497"/>
      <c r="C88" s="2497"/>
      <c r="D88" s="2498">
        <f>D76+1</f>
        <v>2020</v>
      </c>
      <c r="E88" s="2498"/>
      <c r="F88" s="2498"/>
      <c r="G88" s="2498"/>
      <c r="H88" s="2498" t="s">
        <v>295</v>
      </c>
      <c r="I88" s="2498"/>
      <c r="J88" s="2498"/>
      <c r="K88" s="2498"/>
      <c r="L88" s="2498"/>
      <c r="M88" s="2498"/>
      <c r="N88" s="2498"/>
      <c r="O88" s="2498"/>
      <c r="P88" s="2499">
        <v>60000</v>
      </c>
      <c r="Q88" s="2500"/>
      <c r="R88" s="2500"/>
      <c r="S88" s="2500"/>
      <c r="T88" s="2501">
        <f>ROUND(IPMT(($AA$3%+0.35%)/11,1,$D$219-$D$76+1,$P$220-(SUM($P$4:P87)))*-1,2)</f>
        <v>18900</v>
      </c>
      <c r="U88" s="2501"/>
      <c r="V88" s="2501"/>
      <c r="W88" s="2501"/>
      <c r="X88" s="768"/>
      <c r="Y88" s="772"/>
      <c r="Z88" s="772"/>
      <c r="AA88" s="768"/>
    </row>
    <row r="89" spans="1:27">
      <c r="A89" s="2280">
        <v>14</v>
      </c>
      <c r="B89" s="2483"/>
      <c r="C89" s="2483"/>
      <c r="D89" s="2487">
        <f>$D$88</f>
        <v>2020</v>
      </c>
      <c r="E89" s="2487"/>
      <c r="F89" s="2487"/>
      <c r="G89" s="2487"/>
      <c r="H89" s="2487" t="s">
        <v>296</v>
      </c>
      <c r="I89" s="2487"/>
      <c r="J89" s="2487"/>
      <c r="K89" s="2487"/>
      <c r="L89" s="2487"/>
      <c r="M89" s="2487"/>
      <c r="N89" s="2487"/>
      <c r="O89" s="2487"/>
      <c r="P89" s="2488">
        <v>60000</v>
      </c>
      <c r="Q89" s="2489"/>
      <c r="R89" s="2489"/>
      <c r="S89" s="2489"/>
      <c r="T89" s="2284">
        <f>ROUND(IPMT(($AA$3%+0.35%)/11,1,$D$219-$D$88+1,$P$220-(SUM($P$4:P88)))*-1,2)</f>
        <v>18750</v>
      </c>
      <c r="U89" s="2284"/>
      <c r="V89" s="2284"/>
      <c r="W89" s="2284"/>
      <c r="X89" s="768"/>
      <c r="Y89" s="772"/>
      <c r="Z89" s="772"/>
      <c r="AA89" s="768"/>
    </row>
    <row r="90" spans="1:27">
      <c r="A90" s="2280">
        <v>15</v>
      </c>
      <c r="B90" s="2483"/>
      <c r="C90" s="2483"/>
      <c r="D90" s="2487">
        <f t="shared" ref="D90:D99" si="7">$D$88</f>
        <v>2020</v>
      </c>
      <c r="E90" s="2487"/>
      <c r="F90" s="2487"/>
      <c r="G90" s="2487"/>
      <c r="H90" s="2487" t="s">
        <v>297</v>
      </c>
      <c r="I90" s="2487"/>
      <c r="J90" s="2487"/>
      <c r="K90" s="2487"/>
      <c r="L90" s="2487"/>
      <c r="M90" s="2487"/>
      <c r="N90" s="2487"/>
      <c r="O90" s="2487"/>
      <c r="P90" s="2488">
        <v>60000</v>
      </c>
      <c r="Q90" s="2489"/>
      <c r="R90" s="2489"/>
      <c r="S90" s="2489"/>
      <c r="T90" s="2284">
        <f>ROUND(IPMT(($AA$3%+0.35%)/11,1,$D$219-$D$88+1,$P$220-(SUM($P$4:P89)))*-1,2)</f>
        <v>18600</v>
      </c>
      <c r="U90" s="2284"/>
      <c r="V90" s="2284"/>
      <c r="W90" s="2284"/>
      <c r="X90" s="768"/>
      <c r="Y90" s="772"/>
      <c r="Z90" s="772"/>
      <c r="AA90" s="768"/>
    </row>
    <row r="91" spans="1:27">
      <c r="A91" s="2280">
        <v>16</v>
      </c>
      <c r="B91" s="2483"/>
      <c r="C91" s="2483"/>
      <c r="D91" s="2487">
        <f t="shared" si="7"/>
        <v>2020</v>
      </c>
      <c r="E91" s="2487"/>
      <c r="F91" s="2487"/>
      <c r="G91" s="2487"/>
      <c r="H91" s="2487" t="s">
        <v>298</v>
      </c>
      <c r="I91" s="2487"/>
      <c r="J91" s="2487"/>
      <c r="K91" s="2487"/>
      <c r="L91" s="2487"/>
      <c r="M91" s="2487"/>
      <c r="N91" s="2487"/>
      <c r="O91" s="2487"/>
      <c r="P91" s="2488">
        <v>60000</v>
      </c>
      <c r="Q91" s="2489"/>
      <c r="R91" s="2489"/>
      <c r="S91" s="2489"/>
      <c r="T91" s="2284">
        <f>ROUND(IPMT(($AA$3%+0.35%)/11,1,$D$219-$D$88+1,$P$220-(SUM($P$4:P90)))*-1,2)</f>
        <v>18450</v>
      </c>
      <c r="U91" s="2284"/>
      <c r="V91" s="2284"/>
      <c r="W91" s="2284"/>
      <c r="X91" s="768"/>
      <c r="Y91" s="772"/>
      <c r="Z91" s="772"/>
      <c r="AA91" s="768"/>
    </row>
    <row r="92" spans="1:27">
      <c r="A92" s="2280">
        <v>17</v>
      </c>
      <c r="B92" s="2483"/>
      <c r="C92" s="2483"/>
      <c r="D92" s="2487">
        <f t="shared" si="7"/>
        <v>2020</v>
      </c>
      <c r="E92" s="2487"/>
      <c r="F92" s="2487"/>
      <c r="G92" s="2487"/>
      <c r="H92" s="2487" t="s">
        <v>299</v>
      </c>
      <c r="I92" s="2487"/>
      <c r="J92" s="2487"/>
      <c r="K92" s="2487"/>
      <c r="L92" s="2487"/>
      <c r="M92" s="2487"/>
      <c r="N92" s="2487"/>
      <c r="O92" s="2487"/>
      <c r="P92" s="2488">
        <v>60000</v>
      </c>
      <c r="Q92" s="2489"/>
      <c r="R92" s="2489"/>
      <c r="S92" s="2489"/>
      <c r="T92" s="2284">
        <f>ROUND(IPMT(($AA$3%+0.35%)/11,1,$D$219-$D$88+1,$P$220-(SUM($P$4:P91)))*-1,2)</f>
        <v>18300</v>
      </c>
      <c r="U92" s="2284"/>
      <c r="V92" s="2284"/>
      <c r="W92" s="2284"/>
      <c r="X92" s="768"/>
      <c r="Y92" s="772"/>
      <c r="Z92" s="772"/>
      <c r="AA92" s="768"/>
    </row>
    <row r="93" spans="1:27">
      <c r="A93" s="2280">
        <v>18</v>
      </c>
      <c r="B93" s="2483"/>
      <c r="C93" s="2483"/>
      <c r="D93" s="2487">
        <f t="shared" si="7"/>
        <v>2020</v>
      </c>
      <c r="E93" s="2487"/>
      <c r="F93" s="2487"/>
      <c r="G93" s="2487"/>
      <c r="H93" s="2487" t="s">
        <v>300</v>
      </c>
      <c r="I93" s="2487"/>
      <c r="J93" s="2487"/>
      <c r="K93" s="2487"/>
      <c r="L93" s="2487"/>
      <c r="M93" s="2487"/>
      <c r="N93" s="2487"/>
      <c r="O93" s="2487"/>
      <c r="P93" s="2488">
        <v>60000</v>
      </c>
      <c r="Q93" s="2489"/>
      <c r="R93" s="2489"/>
      <c r="S93" s="2489"/>
      <c r="T93" s="2284">
        <f>ROUND(IPMT(($AA$3%+0.35%)/11,1,$D$219-$D$88+1,$P$220-(SUM($P$4:P92)))*-1,2)</f>
        <v>18150</v>
      </c>
      <c r="U93" s="2284"/>
      <c r="V93" s="2284"/>
      <c r="W93" s="2284"/>
      <c r="X93" s="768"/>
      <c r="Y93" s="772"/>
      <c r="Z93" s="772"/>
      <c r="AA93" s="768"/>
    </row>
    <row r="94" spans="1:27">
      <c r="A94" s="2280">
        <v>19</v>
      </c>
      <c r="B94" s="2483"/>
      <c r="C94" s="2483"/>
      <c r="D94" s="2487">
        <f t="shared" si="7"/>
        <v>2020</v>
      </c>
      <c r="E94" s="2487"/>
      <c r="F94" s="2487"/>
      <c r="G94" s="2487"/>
      <c r="H94" s="2487" t="s">
        <v>301</v>
      </c>
      <c r="I94" s="2487"/>
      <c r="J94" s="2487"/>
      <c r="K94" s="2487"/>
      <c r="L94" s="2487"/>
      <c r="M94" s="2487"/>
      <c r="N94" s="2487"/>
      <c r="O94" s="2487"/>
      <c r="P94" s="2488">
        <v>60000</v>
      </c>
      <c r="Q94" s="2489"/>
      <c r="R94" s="2489"/>
      <c r="S94" s="2489"/>
      <c r="T94" s="2284">
        <f>ROUND(IPMT(($AA$3%+0.35%)/11,1,$D$219-$D$88+1,$P$220-(SUM($P$4:P93)))*-1,2)</f>
        <v>18000</v>
      </c>
      <c r="U94" s="2284"/>
      <c r="V94" s="2284"/>
      <c r="W94" s="2284"/>
      <c r="X94" s="768"/>
      <c r="Y94" s="772"/>
      <c r="Z94" s="772"/>
      <c r="AA94" s="768"/>
    </row>
    <row r="95" spans="1:27">
      <c r="A95" s="2280">
        <v>20</v>
      </c>
      <c r="B95" s="2483"/>
      <c r="C95" s="2483"/>
      <c r="D95" s="2487">
        <f t="shared" si="7"/>
        <v>2020</v>
      </c>
      <c r="E95" s="2487"/>
      <c r="F95" s="2487"/>
      <c r="G95" s="2487"/>
      <c r="H95" s="2487" t="s">
        <v>302</v>
      </c>
      <c r="I95" s="2487"/>
      <c r="J95" s="2487"/>
      <c r="K95" s="2487"/>
      <c r="L95" s="2487"/>
      <c r="M95" s="2487"/>
      <c r="N95" s="2487"/>
      <c r="O95" s="2487"/>
      <c r="P95" s="2488">
        <v>60000</v>
      </c>
      <c r="Q95" s="2489"/>
      <c r="R95" s="2489"/>
      <c r="S95" s="2489"/>
      <c r="T95" s="2284">
        <f>ROUND(IPMT(($AA$3%+0.35%)/11,1,$D$219-$D$88+1,$P$220-(SUM($P$4:P94)))*-1,2)</f>
        <v>17850</v>
      </c>
      <c r="U95" s="2284"/>
      <c r="V95" s="2284"/>
      <c r="W95" s="2284"/>
      <c r="X95" s="768"/>
      <c r="Y95" s="772"/>
      <c r="Z95" s="772"/>
      <c r="AA95" s="768"/>
    </row>
    <row r="96" spans="1:27">
      <c r="A96" s="2280">
        <v>21</v>
      </c>
      <c r="B96" s="2483"/>
      <c r="C96" s="2483"/>
      <c r="D96" s="2487">
        <f t="shared" si="7"/>
        <v>2020</v>
      </c>
      <c r="E96" s="2487"/>
      <c r="F96" s="2487"/>
      <c r="G96" s="2487"/>
      <c r="H96" s="2487" t="s">
        <v>303</v>
      </c>
      <c r="I96" s="2487"/>
      <c r="J96" s="2487"/>
      <c r="K96" s="2487"/>
      <c r="L96" s="2487"/>
      <c r="M96" s="2487"/>
      <c r="N96" s="2487"/>
      <c r="O96" s="2487"/>
      <c r="P96" s="2488">
        <v>60000</v>
      </c>
      <c r="Q96" s="2489"/>
      <c r="R96" s="2489"/>
      <c r="S96" s="2489"/>
      <c r="T96" s="2284">
        <f>ROUND(IPMT(($AA$3%+0.35%)/11,1,$D$219-$D$88+1,$P$220-(SUM($P$4:P95)))*-1,2)</f>
        <v>17700</v>
      </c>
      <c r="U96" s="2284"/>
      <c r="V96" s="2284"/>
      <c r="W96" s="2284"/>
      <c r="X96" s="768"/>
      <c r="Y96" s="772"/>
      <c r="Z96" s="772"/>
      <c r="AA96" s="768"/>
    </row>
    <row r="97" spans="1:27">
      <c r="A97" s="2280">
        <v>22</v>
      </c>
      <c r="B97" s="2483"/>
      <c r="C97" s="2483"/>
      <c r="D97" s="2487">
        <f t="shared" si="7"/>
        <v>2020</v>
      </c>
      <c r="E97" s="2487"/>
      <c r="F97" s="2487"/>
      <c r="G97" s="2487"/>
      <c r="H97" s="2487" t="s">
        <v>304</v>
      </c>
      <c r="I97" s="2487"/>
      <c r="J97" s="2487"/>
      <c r="K97" s="2487"/>
      <c r="L97" s="2487"/>
      <c r="M97" s="2487"/>
      <c r="N97" s="2487"/>
      <c r="O97" s="2487"/>
      <c r="P97" s="2488">
        <v>60000</v>
      </c>
      <c r="Q97" s="2489"/>
      <c r="R97" s="2489"/>
      <c r="S97" s="2489"/>
      <c r="T97" s="2284">
        <f>ROUND(IPMT(($AA$3%+0.35%)/11,1,$D$219-$D$88+1,$P$220-(SUM($P$4:P96)))*-1,2)</f>
        <v>17550</v>
      </c>
      <c r="U97" s="2284"/>
      <c r="V97" s="2284"/>
      <c r="W97" s="2284"/>
      <c r="X97" s="768"/>
      <c r="Y97" s="772"/>
      <c r="Z97" s="772"/>
      <c r="AA97" s="768"/>
    </row>
    <row r="98" spans="1:27">
      <c r="A98" s="2280">
        <v>23</v>
      </c>
      <c r="B98" s="2483"/>
      <c r="C98" s="2483"/>
      <c r="D98" s="2487">
        <f t="shared" si="7"/>
        <v>2020</v>
      </c>
      <c r="E98" s="2487"/>
      <c r="F98" s="2487"/>
      <c r="G98" s="2487"/>
      <c r="H98" s="2487" t="s">
        <v>305</v>
      </c>
      <c r="I98" s="2487"/>
      <c r="J98" s="2487"/>
      <c r="K98" s="2487"/>
      <c r="L98" s="2487"/>
      <c r="M98" s="2487"/>
      <c r="N98" s="2487"/>
      <c r="O98" s="2487"/>
      <c r="P98" s="2488">
        <v>60000</v>
      </c>
      <c r="Q98" s="2489"/>
      <c r="R98" s="2489"/>
      <c r="S98" s="2489"/>
      <c r="T98" s="2284">
        <f>ROUND(IPMT(($AA$3%+0.35%)/11,1,$D$219-$D$88+1,$P$220-(SUM($P$4:P97)))*-1,2)</f>
        <v>17400</v>
      </c>
      <c r="U98" s="2284"/>
      <c r="V98" s="2284"/>
      <c r="W98" s="2284"/>
      <c r="X98" s="768"/>
      <c r="Y98" s="772"/>
      <c r="Z98" s="772"/>
      <c r="AA98" s="768"/>
    </row>
    <row r="99" spans="1:27">
      <c r="A99" s="2280">
        <v>24</v>
      </c>
      <c r="B99" s="2483"/>
      <c r="C99" s="2483"/>
      <c r="D99" s="2487">
        <f t="shared" si="7"/>
        <v>2020</v>
      </c>
      <c r="E99" s="2487"/>
      <c r="F99" s="2487"/>
      <c r="G99" s="2487"/>
      <c r="H99" s="2487" t="s">
        <v>306</v>
      </c>
      <c r="I99" s="2487"/>
      <c r="J99" s="2487"/>
      <c r="K99" s="2487"/>
      <c r="L99" s="2487"/>
      <c r="M99" s="2487"/>
      <c r="N99" s="2487"/>
      <c r="O99" s="2487"/>
      <c r="P99" s="2488">
        <v>60000</v>
      </c>
      <c r="Q99" s="2489"/>
      <c r="R99" s="2489"/>
      <c r="S99" s="2489"/>
      <c r="T99" s="2284">
        <f>ROUND(IPMT(($AA$3%+0.35%)/11,1,$D$219-$D$88+1,$P$220-(SUM($P$4:P98)))*-1,2)</f>
        <v>17250</v>
      </c>
      <c r="U99" s="2284"/>
      <c r="V99" s="2284"/>
      <c r="W99" s="2284"/>
      <c r="X99" s="768"/>
      <c r="Y99" s="2494">
        <f>SUM(T88:W99)</f>
        <v>216900</v>
      </c>
      <c r="Z99" s="2495"/>
      <c r="AA99" s="768"/>
    </row>
    <row r="100" spans="1:27">
      <c r="A100" s="2496">
        <v>25</v>
      </c>
      <c r="B100" s="2497"/>
      <c r="C100" s="2497"/>
      <c r="D100" s="2498">
        <f>D88+1</f>
        <v>2021</v>
      </c>
      <c r="E100" s="2498"/>
      <c r="F100" s="2498"/>
      <c r="G100" s="2498"/>
      <c r="H100" s="2498" t="s">
        <v>295</v>
      </c>
      <c r="I100" s="2498"/>
      <c r="J100" s="2498"/>
      <c r="K100" s="2498"/>
      <c r="L100" s="2498"/>
      <c r="M100" s="2498"/>
      <c r="N100" s="2498"/>
      <c r="O100" s="2498"/>
      <c r="P100" s="2499">
        <v>60000</v>
      </c>
      <c r="Q100" s="2500"/>
      <c r="R100" s="2500"/>
      <c r="S100" s="2500"/>
      <c r="T100" s="2501">
        <f>ROUND(IPMT(($AA$3%+0.35%)/11,1,$D$219-$D$88+1,$P$220-(SUM($P$4:P99)))*-1,2)</f>
        <v>17100</v>
      </c>
      <c r="U100" s="2501"/>
      <c r="V100" s="2501"/>
      <c r="W100" s="2501"/>
      <c r="X100" s="768"/>
      <c r="Y100" s="773"/>
      <c r="Z100" s="772"/>
      <c r="AA100" s="768"/>
    </row>
    <row r="101" spans="1:27">
      <c r="A101" s="2280">
        <v>26</v>
      </c>
      <c r="B101" s="2483"/>
      <c r="C101" s="2483"/>
      <c r="D101" s="2487">
        <f t="shared" ref="D101:D111" si="8">D89+1</f>
        <v>2021</v>
      </c>
      <c r="E101" s="2487"/>
      <c r="F101" s="2487"/>
      <c r="G101" s="2487"/>
      <c r="H101" s="2487" t="s">
        <v>296</v>
      </c>
      <c r="I101" s="2487"/>
      <c r="J101" s="2487"/>
      <c r="K101" s="2487"/>
      <c r="L101" s="2487"/>
      <c r="M101" s="2487"/>
      <c r="N101" s="2487"/>
      <c r="O101" s="2487"/>
      <c r="P101" s="2488">
        <v>60000</v>
      </c>
      <c r="Q101" s="2489"/>
      <c r="R101" s="2489"/>
      <c r="S101" s="2489"/>
      <c r="T101" s="2284">
        <f>ROUND(IPMT(($AA$3%+0.35%)/11,1,$D$219-$D$208+1,$P$220-(SUM($P$4:P100)))*-1,2)</f>
        <v>16950</v>
      </c>
      <c r="U101" s="2284"/>
      <c r="V101" s="2284"/>
      <c r="W101" s="2284"/>
      <c r="X101" s="768"/>
      <c r="Y101" s="773"/>
      <c r="Z101" s="772"/>
      <c r="AA101" s="768"/>
    </row>
    <row r="102" spans="1:27">
      <c r="A102" s="2280">
        <v>27</v>
      </c>
      <c r="B102" s="2483"/>
      <c r="C102" s="2483"/>
      <c r="D102" s="2487">
        <f t="shared" si="8"/>
        <v>2021</v>
      </c>
      <c r="E102" s="2487"/>
      <c r="F102" s="2487"/>
      <c r="G102" s="2487"/>
      <c r="H102" s="2487" t="s">
        <v>297</v>
      </c>
      <c r="I102" s="2487"/>
      <c r="J102" s="2487"/>
      <c r="K102" s="2487"/>
      <c r="L102" s="2487"/>
      <c r="M102" s="2487"/>
      <c r="N102" s="2487"/>
      <c r="O102" s="2487"/>
      <c r="P102" s="2488">
        <v>60000</v>
      </c>
      <c r="Q102" s="2489"/>
      <c r="R102" s="2489"/>
      <c r="S102" s="2489"/>
      <c r="T102" s="2284">
        <f>ROUND(IPMT(($AA$3%+0.35%)/11,1,$D$219-$D$208+1,$P$220-(SUM($P$4:P101)))*-1,2)</f>
        <v>16800</v>
      </c>
      <c r="U102" s="2284"/>
      <c r="V102" s="2284"/>
      <c r="W102" s="2284"/>
      <c r="X102" s="768"/>
      <c r="Y102" s="773"/>
      <c r="Z102" s="772"/>
      <c r="AA102" s="768"/>
    </row>
    <row r="103" spans="1:27">
      <c r="A103" s="2280">
        <v>28</v>
      </c>
      <c r="B103" s="2483"/>
      <c r="C103" s="2483"/>
      <c r="D103" s="2487">
        <f t="shared" si="8"/>
        <v>2021</v>
      </c>
      <c r="E103" s="2487"/>
      <c r="F103" s="2487"/>
      <c r="G103" s="2487"/>
      <c r="H103" s="2487" t="s">
        <v>298</v>
      </c>
      <c r="I103" s="2487"/>
      <c r="J103" s="2487"/>
      <c r="K103" s="2487"/>
      <c r="L103" s="2487"/>
      <c r="M103" s="2487"/>
      <c r="N103" s="2487"/>
      <c r="O103" s="2487"/>
      <c r="P103" s="2488">
        <v>60000</v>
      </c>
      <c r="Q103" s="2489"/>
      <c r="R103" s="2489"/>
      <c r="S103" s="2489"/>
      <c r="T103" s="2284">
        <f>ROUND(IPMT(($AA$3%+0.35%)/11,1,$D$219-$D$208+1,$P$220-(SUM($P$4:P102)))*-1,2)</f>
        <v>16650</v>
      </c>
      <c r="U103" s="2284"/>
      <c r="V103" s="2284"/>
      <c r="W103" s="2284"/>
      <c r="X103" s="768"/>
      <c r="Y103" s="773"/>
      <c r="Z103" s="772"/>
      <c r="AA103" s="768"/>
    </row>
    <row r="104" spans="1:27">
      <c r="A104" s="2280">
        <v>29</v>
      </c>
      <c r="B104" s="2483"/>
      <c r="C104" s="2483"/>
      <c r="D104" s="2487">
        <f t="shared" si="8"/>
        <v>2021</v>
      </c>
      <c r="E104" s="2487"/>
      <c r="F104" s="2487"/>
      <c r="G104" s="2487"/>
      <c r="H104" s="2487" t="s">
        <v>299</v>
      </c>
      <c r="I104" s="2487"/>
      <c r="J104" s="2487"/>
      <c r="K104" s="2487"/>
      <c r="L104" s="2487"/>
      <c r="M104" s="2487"/>
      <c r="N104" s="2487"/>
      <c r="O104" s="2487"/>
      <c r="P104" s="2488">
        <v>60000</v>
      </c>
      <c r="Q104" s="2489"/>
      <c r="R104" s="2489"/>
      <c r="S104" s="2489"/>
      <c r="T104" s="2284">
        <f>ROUND(IPMT(($AA$3%+0.35%)/11,1,$D$219-$D$208+1,$P$220-(SUM($P$4:P103)))*-1,2)</f>
        <v>16500</v>
      </c>
      <c r="U104" s="2284"/>
      <c r="V104" s="2284"/>
      <c r="W104" s="2284"/>
      <c r="X104" s="768"/>
      <c r="Y104" s="773"/>
      <c r="Z104" s="772"/>
      <c r="AA104" s="768"/>
    </row>
    <row r="105" spans="1:27">
      <c r="A105" s="2280">
        <v>30</v>
      </c>
      <c r="B105" s="2483"/>
      <c r="C105" s="2483"/>
      <c r="D105" s="2487">
        <f t="shared" si="8"/>
        <v>2021</v>
      </c>
      <c r="E105" s="2487"/>
      <c r="F105" s="2487"/>
      <c r="G105" s="2487"/>
      <c r="H105" s="2487" t="s">
        <v>300</v>
      </c>
      <c r="I105" s="2487"/>
      <c r="J105" s="2487"/>
      <c r="K105" s="2487"/>
      <c r="L105" s="2487"/>
      <c r="M105" s="2487"/>
      <c r="N105" s="2487"/>
      <c r="O105" s="2487"/>
      <c r="P105" s="2488">
        <v>60000</v>
      </c>
      <c r="Q105" s="2489"/>
      <c r="R105" s="2489"/>
      <c r="S105" s="2489"/>
      <c r="T105" s="2284">
        <f>ROUND(IPMT(($AA$3%+0.35%)/11,1,$D$219-$D$208+1,$P$220-(SUM($P$4:P104)))*-1,2)</f>
        <v>16350</v>
      </c>
      <c r="U105" s="2284"/>
      <c r="V105" s="2284"/>
      <c r="W105" s="2284"/>
      <c r="X105" s="768"/>
      <c r="Y105" s="773"/>
      <c r="Z105" s="772"/>
      <c r="AA105" s="768"/>
    </row>
    <row r="106" spans="1:27">
      <c r="A106" s="2280">
        <v>31</v>
      </c>
      <c r="B106" s="2483"/>
      <c r="C106" s="2483"/>
      <c r="D106" s="2487">
        <f t="shared" si="8"/>
        <v>2021</v>
      </c>
      <c r="E106" s="2487"/>
      <c r="F106" s="2487"/>
      <c r="G106" s="2487"/>
      <c r="H106" s="2487" t="s">
        <v>301</v>
      </c>
      <c r="I106" s="2487"/>
      <c r="J106" s="2487"/>
      <c r="K106" s="2487"/>
      <c r="L106" s="2487"/>
      <c r="M106" s="2487"/>
      <c r="N106" s="2487"/>
      <c r="O106" s="2487"/>
      <c r="P106" s="2488">
        <v>60000</v>
      </c>
      <c r="Q106" s="2489"/>
      <c r="R106" s="2489"/>
      <c r="S106" s="2489"/>
      <c r="T106" s="2284">
        <f>ROUND(IPMT(($AA$3%+0.35%)/11,1,$D$219-$D$208+1,$P$220-(SUM($P$4:P105)))*-1,2)</f>
        <v>16200</v>
      </c>
      <c r="U106" s="2284"/>
      <c r="V106" s="2284"/>
      <c r="W106" s="2284"/>
      <c r="X106" s="768"/>
      <c r="Y106" s="773"/>
      <c r="Z106" s="772"/>
      <c r="AA106" s="768"/>
    </row>
    <row r="107" spans="1:27">
      <c r="A107" s="2280">
        <v>32</v>
      </c>
      <c r="B107" s="2483"/>
      <c r="C107" s="2483"/>
      <c r="D107" s="2487">
        <f t="shared" si="8"/>
        <v>2021</v>
      </c>
      <c r="E107" s="2487"/>
      <c r="F107" s="2487"/>
      <c r="G107" s="2487"/>
      <c r="H107" s="2487" t="s">
        <v>302</v>
      </c>
      <c r="I107" s="2487"/>
      <c r="J107" s="2487"/>
      <c r="K107" s="2487"/>
      <c r="L107" s="2487"/>
      <c r="M107" s="2487"/>
      <c r="N107" s="2487"/>
      <c r="O107" s="2487"/>
      <c r="P107" s="2488">
        <v>60000</v>
      </c>
      <c r="Q107" s="2489"/>
      <c r="R107" s="2489"/>
      <c r="S107" s="2489"/>
      <c r="T107" s="2284">
        <f>ROUND(IPMT(($AA$3%+0.35%)/11,1,$D$219-$D$208+1,$P$220-(SUM($P$4:P106)))*-1,2)</f>
        <v>16050</v>
      </c>
      <c r="U107" s="2284"/>
      <c r="V107" s="2284"/>
      <c r="W107" s="2284"/>
      <c r="X107" s="768"/>
      <c r="Y107" s="773"/>
      <c r="Z107" s="772"/>
      <c r="AA107" s="768"/>
    </row>
    <row r="108" spans="1:27">
      <c r="A108" s="2280">
        <v>33</v>
      </c>
      <c r="B108" s="2483"/>
      <c r="C108" s="2483"/>
      <c r="D108" s="2487">
        <f t="shared" si="8"/>
        <v>2021</v>
      </c>
      <c r="E108" s="2487"/>
      <c r="F108" s="2487"/>
      <c r="G108" s="2487"/>
      <c r="H108" s="2487" t="s">
        <v>303</v>
      </c>
      <c r="I108" s="2487"/>
      <c r="J108" s="2487"/>
      <c r="K108" s="2487"/>
      <c r="L108" s="2487"/>
      <c r="M108" s="2487"/>
      <c r="N108" s="2487"/>
      <c r="O108" s="2487"/>
      <c r="P108" s="2488">
        <v>60000</v>
      </c>
      <c r="Q108" s="2489"/>
      <c r="R108" s="2489"/>
      <c r="S108" s="2489"/>
      <c r="T108" s="2284">
        <f>ROUND(IPMT(($AA$3%+0.35%)/11,1,$D$219-$D$208+1,$P$220-(SUM($P$4:P107)))*-1,2)</f>
        <v>15900</v>
      </c>
      <c r="U108" s="2284"/>
      <c r="V108" s="2284"/>
      <c r="W108" s="2284"/>
      <c r="X108" s="768"/>
      <c r="Y108" s="773"/>
      <c r="Z108" s="772"/>
      <c r="AA108" s="768"/>
    </row>
    <row r="109" spans="1:27">
      <c r="A109" s="2280">
        <v>34</v>
      </c>
      <c r="B109" s="2483"/>
      <c r="C109" s="2483"/>
      <c r="D109" s="2487">
        <f t="shared" si="8"/>
        <v>2021</v>
      </c>
      <c r="E109" s="2487"/>
      <c r="F109" s="2487"/>
      <c r="G109" s="2487"/>
      <c r="H109" s="2487" t="s">
        <v>304</v>
      </c>
      <c r="I109" s="2487"/>
      <c r="J109" s="2487"/>
      <c r="K109" s="2487"/>
      <c r="L109" s="2487"/>
      <c r="M109" s="2487"/>
      <c r="N109" s="2487"/>
      <c r="O109" s="2487"/>
      <c r="P109" s="2488">
        <v>60000</v>
      </c>
      <c r="Q109" s="2489"/>
      <c r="R109" s="2489"/>
      <c r="S109" s="2489"/>
      <c r="T109" s="2284">
        <f>ROUND(IPMT(($AA$3%+0.35%)/11,1,$D$219-$D$208+1,$P$220-(SUM($P$4:P108)))*-1,2)</f>
        <v>15750</v>
      </c>
      <c r="U109" s="2284"/>
      <c r="V109" s="2284"/>
      <c r="W109" s="2284"/>
      <c r="X109" s="768"/>
      <c r="Y109" s="773"/>
      <c r="Z109" s="772"/>
      <c r="AA109" s="768"/>
    </row>
    <row r="110" spans="1:27">
      <c r="A110" s="2280">
        <v>35</v>
      </c>
      <c r="B110" s="2483"/>
      <c r="C110" s="2483"/>
      <c r="D110" s="2487">
        <f t="shared" si="8"/>
        <v>2021</v>
      </c>
      <c r="E110" s="2487"/>
      <c r="F110" s="2487"/>
      <c r="G110" s="2487"/>
      <c r="H110" s="2487" t="s">
        <v>305</v>
      </c>
      <c r="I110" s="2487"/>
      <c r="J110" s="2487"/>
      <c r="K110" s="2487"/>
      <c r="L110" s="2487"/>
      <c r="M110" s="2487"/>
      <c r="N110" s="2487"/>
      <c r="O110" s="2487"/>
      <c r="P110" s="2488">
        <v>60000</v>
      </c>
      <c r="Q110" s="2489"/>
      <c r="R110" s="2489"/>
      <c r="S110" s="2489"/>
      <c r="T110" s="2284">
        <f>ROUND(IPMT(($AA$3%+0.35%)/11,1,$D$219-$D$208+1,$P$220-(SUM($P$4:P109)))*-1,2)</f>
        <v>15600</v>
      </c>
      <c r="U110" s="2284"/>
      <c r="V110" s="2284"/>
      <c r="W110" s="2284"/>
      <c r="X110" s="768"/>
      <c r="Y110" s="773"/>
      <c r="Z110" s="772"/>
      <c r="AA110" s="768"/>
    </row>
    <row r="111" spans="1:27">
      <c r="A111" s="2280">
        <v>36</v>
      </c>
      <c r="B111" s="2483"/>
      <c r="C111" s="2483"/>
      <c r="D111" s="2487">
        <f t="shared" si="8"/>
        <v>2021</v>
      </c>
      <c r="E111" s="2487"/>
      <c r="F111" s="2487"/>
      <c r="G111" s="2487"/>
      <c r="H111" s="2502" t="s">
        <v>306</v>
      </c>
      <c r="I111" s="2502"/>
      <c r="J111" s="2502"/>
      <c r="K111" s="2502"/>
      <c r="L111" s="2502"/>
      <c r="M111" s="2502"/>
      <c r="N111" s="2502"/>
      <c r="O111" s="2502"/>
      <c r="P111" s="2488">
        <v>60000</v>
      </c>
      <c r="Q111" s="2489"/>
      <c r="R111" s="2489"/>
      <c r="S111" s="2489"/>
      <c r="T111" s="2279">
        <f>ROUND(IPMT(($AA$3%+0.35%)/11,1,$D$219-$D$208+1,$P$220-(SUM($P$4:P110)))*-1,2)</f>
        <v>15450</v>
      </c>
      <c r="U111" s="2279"/>
      <c r="V111" s="2279"/>
      <c r="W111" s="2279"/>
      <c r="X111" s="768"/>
      <c r="Y111" s="2494">
        <f>SUM(T100:W111)</f>
        <v>195300</v>
      </c>
      <c r="Z111" s="2495"/>
      <c r="AA111" s="768"/>
    </row>
    <row r="112" spans="1:27">
      <c r="A112" s="2496">
        <v>37</v>
      </c>
      <c r="B112" s="2497"/>
      <c r="C112" s="2497"/>
      <c r="D112" s="2498">
        <f>D100+1</f>
        <v>2022</v>
      </c>
      <c r="E112" s="2498"/>
      <c r="F112" s="2498"/>
      <c r="G112" s="2498"/>
      <c r="H112" s="2498" t="s">
        <v>295</v>
      </c>
      <c r="I112" s="2498"/>
      <c r="J112" s="2498"/>
      <c r="K112" s="2498"/>
      <c r="L112" s="2498"/>
      <c r="M112" s="2498"/>
      <c r="N112" s="2498"/>
      <c r="O112" s="2498"/>
      <c r="P112" s="2499">
        <v>60000</v>
      </c>
      <c r="Q112" s="2500"/>
      <c r="R112" s="2500"/>
      <c r="S112" s="2500"/>
      <c r="T112" s="2501">
        <f>ROUND(IPMT(($AA$3%+0.35%)/11,1,$D$219-$D$88+1,$P$220-(SUM($P$4:P111)))*-1,2)</f>
        <v>15300</v>
      </c>
      <c r="U112" s="2501"/>
      <c r="V112" s="2501"/>
      <c r="W112" s="2501"/>
      <c r="X112" s="768"/>
      <c r="Y112" s="773"/>
      <c r="Z112" s="772"/>
      <c r="AA112" s="768"/>
    </row>
    <row r="113" spans="1:27">
      <c r="A113" s="2280">
        <v>38</v>
      </c>
      <c r="B113" s="2483"/>
      <c r="C113" s="2483"/>
      <c r="D113" s="2487">
        <f t="shared" ref="D113:D123" si="9">D101+1</f>
        <v>2022</v>
      </c>
      <c r="E113" s="2487"/>
      <c r="F113" s="2487"/>
      <c r="G113" s="2487"/>
      <c r="H113" s="2487" t="s">
        <v>296</v>
      </c>
      <c r="I113" s="2487"/>
      <c r="J113" s="2487"/>
      <c r="K113" s="2487"/>
      <c r="L113" s="2487"/>
      <c r="M113" s="2487"/>
      <c r="N113" s="2487"/>
      <c r="O113" s="2487"/>
      <c r="P113" s="2488">
        <v>60000</v>
      </c>
      <c r="Q113" s="2489"/>
      <c r="R113" s="2489"/>
      <c r="S113" s="2489"/>
      <c r="T113" s="2284">
        <f>ROUND(IPMT(($AA$3%+0.35%)/11,1,$D$219-$D$208+1,$P$220-(SUM($P$4:P112)))*-1,2)</f>
        <v>15150</v>
      </c>
      <c r="U113" s="2284"/>
      <c r="V113" s="2284"/>
      <c r="W113" s="2284"/>
      <c r="X113" s="768"/>
      <c r="Y113" s="773"/>
      <c r="Z113" s="772"/>
      <c r="AA113" s="768"/>
    </row>
    <row r="114" spans="1:27">
      <c r="A114" s="2280">
        <v>39</v>
      </c>
      <c r="B114" s="2483"/>
      <c r="C114" s="2483"/>
      <c r="D114" s="2487">
        <f t="shared" si="9"/>
        <v>2022</v>
      </c>
      <c r="E114" s="2487"/>
      <c r="F114" s="2487"/>
      <c r="G114" s="2487"/>
      <c r="H114" s="2487" t="s">
        <v>297</v>
      </c>
      <c r="I114" s="2487"/>
      <c r="J114" s="2487"/>
      <c r="K114" s="2487"/>
      <c r="L114" s="2487"/>
      <c r="M114" s="2487"/>
      <c r="N114" s="2487"/>
      <c r="O114" s="2487"/>
      <c r="P114" s="2488">
        <v>60000</v>
      </c>
      <c r="Q114" s="2489"/>
      <c r="R114" s="2489"/>
      <c r="S114" s="2489"/>
      <c r="T114" s="2284">
        <f>ROUND(IPMT(($AA$3%+0.35%)/11,1,$D$219-$D$208+1,$P$220-(SUM($P$4:P113)))*-1,2)</f>
        <v>15000</v>
      </c>
      <c r="U114" s="2284"/>
      <c r="V114" s="2284"/>
      <c r="W114" s="2284"/>
      <c r="X114" s="768"/>
      <c r="Y114" s="773"/>
      <c r="Z114" s="772"/>
      <c r="AA114" s="768"/>
    </row>
    <row r="115" spans="1:27">
      <c r="A115" s="2280">
        <v>40</v>
      </c>
      <c r="B115" s="2483"/>
      <c r="C115" s="2483"/>
      <c r="D115" s="2487">
        <f t="shared" si="9"/>
        <v>2022</v>
      </c>
      <c r="E115" s="2487"/>
      <c r="F115" s="2487"/>
      <c r="G115" s="2487"/>
      <c r="H115" s="2487" t="s">
        <v>298</v>
      </c>
      <c r="I115" s="2487"/>
      <c r="J115" s="2487"/>
      <c r="K115" s="2487"/>
      <c r="L115" s="2487"/>
      <c r="M115" s="2487"/>
      <c r="N115" s="2487"/>
      <c r="O115" s="2487"/>
      <c r="P115" s="2488">
        <v>60000</v>
      </c>
      <c r="Q115" s="2489"/>
      <c r="R115" s="2489"/>
      <c r="S115" s="2489"/>
      <c r="T115" s="2284">
        <f>ROUND(IPMT(($AA$3%+0.35%)/11,1,$D$219-$D$208+1,$P$220-(SUM($P$4:P114)))*-1,2)</f>
        <v>14850</v>
      </c>
      <c r="U115" s="2284"/>
      <c r="V115" s="2284"/>
      <c r="W115" s="2284"/>
      <c r="X115" s="768"/>
      <c r="Y115" s="773"/>
      <c r="Z115" s="772"/>
      <c r="AA115" s="768"/>
    </row>
    <row r="116" spans="1:27">
      <c r="A116" s="2280">
        <v>41</v>
      </c>
      <c r="B116" s="2483"/>
      <c r="C116" s="2483"/>
      <c r="D116" s="2487">
        <f t="shared" si="9"/>
        <v>2022</v>
      </c>
      <c r="E116" s="2487"/>
      <c r="F116" s="2487"/>
      <c r="G116" s="2487"/>
      <c r="H116" s="2487" t="s">
        <v>299</v>
      </c>
      <c r="I116" s="2487"/>
      <c r="J116" s="2487"/>
      <c r="K116" s="2487"/>
      <c r="L116" s="2487"/>
      <c r="M116" s="2487"/>
      <c r="N116" s="2487"/>
      <c r="O116" s="2487"/>
      <c r="P116" s="2488">
        <v>60000</v>
      </c>
      <c r="Q116" s="2489"/>
      <c r="R116" s="2489"/>
      <c r="S116" s="2489"/>
      <c r="T116" s="2284">
        <f>ROUND(IPMT(($AA$3%+0.35%)/11,1,$D$219-$D$208+1,$P$220-(SUM($P$4:P115)))*-1,2)</f>
        <v>14700</v>
      </c>
      <c r="U116" s="2284"/>
      <c r="V116" s="2284"/>
      <c r="W116" s="2284"/>
      <c r="X116" s="768"/>
      <c r="Y116" s="773"/>
      <c r="Z116" s="772"/>
      <c r="AA116" s="768"/>
    </row>
    <row r="117" spans="1:27">
      <c r="A117" s="2280">
        <v>42</v>
      </c>
      <c r="B117" s="2483"/>
      <c r="C117" s="2483"/>
      <c r="D117" s="2487">
        <f t="shared" si="9"/>
        <v>2022</v>
      </c>
      <c r="E117" s="2487"/>
      <c r="F117" s="2487"/>
      <c r="G117" s="2487"/>
      <c r="H117" s="2487" t="s">
        <v>300</v>
      </c>
      <c r="I117" s="2487"/>
      <c r="J117" s="2487"/>
      <c r="K117" s="2487"/>
      <c r="L117" s="2487"/>
      <c r="M117" s="2487"/>
      <c r="N117" s="2487"/>
      <c r="O117" s="2487"/>
      <c r="P117" s="2488">
        <v>60000</v>
      </c>
      <c r="Q117" s="2489"/>
      <c r="R117" s="2489"/>
      <c r="S117" s="2489"/>
      <c r="T117" s="2284">
        <f>ROUND(IPMT(($AA$3%+0.35%)/11,1,$D$219-$D$208+1,$P$220-(SUM($P$4:P116)))*-1,2)</f>
        <v>14550</v>
      </c>
      <c r="U117" s="2284"/>
      <c r="V117" s="2284"/>
      <c r="W117" s="2284"/>
      <c r="X117" s="768"/>
      <c r="Y117" s="773"/>
      <c r="Z117" s="772"/>
      <c r="AA117" s="768"/>
    </row>
    <row r="118" spans="1:27">
      <c r="A118" s="2280">
        <v>43</v>
      </c>
      <c r="B118" s="2483"/>
      <c r="C118" s="2483"/>
      <c r="D118" s="2487">
        <f t="shared" si="9"/>
        <v>2022</v>
      </c>
      <c r="E118" s="2487"/>
      <c r="F118" s="2487"/>
      <c r="G118" s="2487"/>
      <c r="H118" s="2487" t="s">
        <v>301</v>
      </c>
      <c r="I118" s="2487"/>
      <c r="J118" s="2487"/>
      <c r="K118" s="2487"/>
      <c r="L118" s="2487"/>
      <c r="M118" s="2487"/>
      <c r="N118" s="2487"/>
      <c r="O118" s="2487"/>
      <c r="P118" s="2488">
        <v>60000</v>
      </c>
      <c r="Q118" s="2489"/>
      <c r="R118" s="2489"/>
      <c r="S118" s="2489"/>
      <c r="T118" s="2284">
        <f>ROUND(IPMT(($AA$3%+0.35%)/11,1,$D$219-$D$208+1,$P$220-(SUM($P$4:P117)))*-1,2)</f>
        <v>14400</v>
      </c>
      <c r="U118" s="2284"/>
      <c r="V118" s="2284"/>
      <c r="W118" s="2284"/>
      <c r="X118" s="768"/>
      <c r="Y118" s="773"/>
      <c r="Z118" s="772"/>
      <c r="AA118" s="768"/>
    </row>
    <row r="119" spans="1:27">
      <c r="A119" s="2280">
        <v>44</v>
      </c>
      <c r="B119" s="2483"/>
      <c r="C119" s="2483"/>
      <c r="D119" s="2487">
        <f t="shared" si="9"/>
        <v>2022</v>
      </c>
      <c r="E119" s="2487"/>
      <c r="F119" s="2487"/>
      <c r="G119" s="2487"/>
      <c r="H119" s="2487" t="s">
        <v>302</v>
      </c>
      <c r="I119" s="2487"/>
      <c r="J119" s="2487"/>
      <c r="K119" s="2487"/>
      <c r="L119" s="2487"/>
      <c r="M119" s="2487"/>
      <c r="N119" s="2487"/>
      <c r="O119" s="2487"/>
      <c r="P119" s="2488">
        <v>60000</v>
      </c>
      <c r="Q119" s="2489"/>
      <c r="R119" s="2489"/>
      <c r="S119" s="2489"/>
      <c r="T119" s="2284">
        <f>ROUND(IPMT(($AA$3%+0.35%)/11,1,$D$219-$D$208+1,$P$220-(SUM($P$4:P118)))*-1,2)</f>
        <v>14250</v>
      </c>
      <c r="U119" s="2284"/>
      <c r="V119" s="2284"/>
      <c r="W119" s="2284"/>
      <c r="X119" s="768"/>
      <c r="Y119" s="773"/>
      <c r="Z119" s="772"/>
      <c r="AA119" s="768"/>
    </row>
    <row r="120" spans="1:27">
      <c r="A120" s="2280">
        <v>45</v>
      </c>
      <c r="B120" s="2483"/>
      <c r="C120" s="2483"/>
      <c r="D120" s="2487">
        <f t="shared" si="9"/>
        <v>2022</v>
      </c>
      <c r="E120" s="2487"/>
      <c r="F120" s="2487"/>
      <c r="G120" s="2487"/>
      <c r="H120" s="2487" t="s">
        <v>303</v>
      </c>
      <c r="I120" s="2487"/>
      <c r="J120" s="2487"/>
      <c r="K120" s="2487"/>
      <c r="L120" s="2487"/>
      <c r="M120" s="2487"/>
      <c r="N120" s="2487"/>
      <c r="O120" s="2487"/>
      <c r="P120" s="2488">
        <v>60000</v>
      </c>
      <c r="Q120" s="2489"/>
      <c r="R120" s="2489"/>
      <c r="S120" s="2489"/>
      <c r="T120" s="2284">
        <f>ROUND(IPMT(($AA$3%+0.35%)/11,1,$D$219-$D$208+1,$P$220-(SUM($P$4:P119)))*-1,2)</f>
        <v>14100</v>
      </c>
      <c r="U120" s="2284"/>
      <c r="V120" s="2284"/>
      <c r="W120" s="2284"/>
      <c r="X120" s="768"/>
      <c r="Y120" s="773"/>
      <c r="Z120" s="772"/>
      <c r="AA120" s="768"/>
    </row>
    <row r="121" spans="1:27">
      <c r="A121" s="2280">
        <v>46</v>
      </c>
      <c r="B121" s="2483"/>
      <c r="C121" s="2483"/>
      <c r="D121" s="2487">
        <f t="shared" si="9"/>
        <v>2022</v>
      </c>
      <c r="E121" s="2487"/>
      <c r="F121" s="2487"/>
      <c r="G121" s="2487"/>
      <c r="H121" s="2487" t="s">
        <v>304</v>
      </c>
      <c r="I121" s="2487"/>
      <c r="J121" s="2487"/>
      <c r="K121" s="2487"/>
      <c r="L121" s="2487"/>
      <c r="M121" s="2487"/>
      <c r="N121" s="2487"/>
      <c r="O121" s="2487"/>
      <c r="P121" s="2488">
        <v>60000</v>
      </c>
      <c r="Q121" s="2489"/>
      <c r="R121" s="2489"/>
      <c r="S121" s="2489"/>
      <c r="T121" s="2284">
        <f>ROUND(IPMT(($AA$3%+0.35%)/11,1,$D$219-$D$208+1,$P$220-(SUM($P$4:P120)))*-1,2)</f>
        <v>13950</v>
      </c>
      <c r="U121" s="2284"/>
      <c r="V121" s="2284"/>
      <c r="W121" s="2284"/>
      <c r="X121" s="768"/>
      <c r="Y121" s="773"/>
      <c r="Z121" s="772"/>
      <c r="AA121" s="768"/>
    </row>
    <row r="122" spans="1:27">
      <c r="A122" s="2280">
        <v>47</v>
      </c>
      <c r="B122" s="2483"/>
      <c r="C122" s="2483"/>
      <c r="D122" s="2487">
        <f t="shared" si="9"/>
        <v>2022</v>
      </c>
      <c r="E122" s="2487"/>
      <c r="F122" s="2487"/>
      <c r="G122" s="2487"/>
      <c r="H122" s="2487" t="s">
        <v>305</v>
      </c>
      <c r="I122" s="2487"/>
      <c r="J122" s="2487"/>
      <c r="K122" s="2487"/>
      <c r="L122" s="2487"/>
      <c r="M122" s="2487"/>
      <c r="N122" s="2487"/>
      <c r="O122" s="2487"/>
      <c r="P122" s="2488">
        <v>60000</v>
      </c>
      <c r="Q122" s="2489"/>
      <c r="R122" s="2489"/>
      <c r="S122" s="2489"/>
      <c r="T122" s="2284">
        <f>ROUND(IPMT(($AA$3%+0.35%)/11,1,$D$219-$D$208+1,$P$220-(SUM($P$4:P121)))*-1,2)</f>
        <v>13800</v>
      </c>
      <c r="U122" s="2284"/>
      <c r="V122" s="2284"/>
      <c r="W122" s="2284"/>
      <c r="X122" s="768"/>
      <c r="Y122" s="773"/>
      <c r="Z122" s="772"/>
      <c r="AA122" s="768"/>
    </row>
    <row r="123" spans="1:27">
      <c r="A123" s="2280">
        <v>48</v>
      </c>
      <c r="B123" s="2483"/>
      <c r="C123" s="2483"/>
      <c r="D123" s="2487">
        <f t="shared" si="9"/>
        <v>2022</v>
      </c>
      <c r="E123" s="2487"/>
      <c r="F123" s="2487"/>
      <c r="G123" s="2487"/>
      <c r="H123" s="2502" t="s">
        <v>306</v>
      </c>
      <c r="I123" s="2502"/>
      <c r="J123" s="2502"/>
      <c r="K123" s="2502"/>
      <c r="L123" s="2502"/>
      <c r="M123" s="2502"/>
      <c r="N123" s="2502"/>
      <c r="O123" s="2502"/>
      <c r="P123" s="2488">
        <v>60000</v>
      </c>
      <c r="Q123" s="2489"/>
      <c r="R123" s="2489"/>
      <c r="S123" s="2489"/>
      <c r="T123" s="2279">
        <f>ROUND(IPMT(($AA$3%+0.35%)/11,1,$D$219-$D$208+1,$P$220-(SUM($P$4:P122)))*-1,2)</f>
        <v>13650</v>
      </c>
      <c r="U123" s="2279"/>
      <c r="V123" s="2279"/>
      <c r="W123" s="2279"/>
      <c r="X123" s="768"/>
      <c r="Y123" s="2494">
        <f>SUM(T112:W123)</f>
        <v>173700</v>
      </c>
      <c r="Z123" s="2495"/>
      <c r="AA123" s="768"/>
    </row>
    <row r="124" spans="1:27">
      <c r="A124" s="2496">
        <v>37</v>
      </c>
      <c r="B124" s="2497"/>
      <c r="C124" s="2497"/>
      <c r="D124" s="2498">
        <f>D112+1</f>
        <v>2023</v>
      </c>
      <c r="E124" s="2498"/>
      <c r="F124" s="2498"/>
      <c r="G124" s="2498"/>
      <c r="H124" s="2498" t="s">
        <v>295</v>
      </c>
      <c r="I124" s="2498"/>
      <c r="J124" s="2498"/>
      <c r="K124" s="2498"/>
      <c r="L124" s="2498"/>
      <c r="M124" s="2498"/>
      <c r="N124" s="2498"/>
      <c r="O124" s="2498"/>
      <c r="P124" s="2499">
        <v>60000</v>
      </c>
      <c r="Q124" s="2500"/>
      <c r="R124" s="2500"/>
      <c r="S124" s="2500"/>
      <c r="T124" s="2501">
        <f>ROUND(IPMT(($AA$3%+0.35%)/11,1,$D$219-$D$88+1,$P$220-(SUM($P$4:P123)))*-1,2)</f>
        <v>13500</v>
      </c>
      <c r="U124" s="2501"/>
      <c r="V124" s="2501"/>
      <c r="W124" s="2501"/>
      <c r="X124" s="768"/>
      <c r="Y124" s="773"/>
      <c r="Z124" s="772"/>
      <c r="AA124" s="768"/>
    </row>
    <row r="125" spans="1:27">
      <c r="A125" s="2280">
        <v>38</v>
      </c>
      <c r="B125" s="2483"/>
      <c r="C125" s="2483"/>
      <c r="D125" s="2487">
        <f t="shared" ref="D125:D135" si="10">D113+1</f>
        <v>2023</v>
      </c>
      <c r="E125" s="2487"/>
      <c r="F125" s="2487"/>
      <c r="G125" s="2487"/>
      <c r="H125" s="2487" t="s">
        <v>296</v>
      </c>
      <c r="I125" s="2487"/>
      <c r="J125" s="2487"/>
      <c r="K125" s="2487"/>
      <c r="L125" s="2487"/>
      <c r="M125" s="2487"/>
      <c r="N125" s="2487"/>
      <c r="O125" s="2487"/>
      <c r="P125" s="2488">
        <v>60000</v>
      </c>
      <c r="Q125" s="2489"/>
      <c r="R125" s="2489"/>
      <c r="S125" s="2489"/>
      <c r="T125" s="2284">
        <f>ROUND(IPMT(($AA$3%+0.35%)/11,1,$D$219-$D$208+1,$P$220-(SUM($P$4:P124)))*-1,2)</f>
        <v>13350</v>
      </c>
      <c r="U125" s="2284"/>
      <c r="V125" s="2284"/>
      <c r="W125" s="2284"/>
      <c r="X125" s="768"/>
      <c r="Y125" s="773"/>
      <c r="Z125" s="772"/>
      <c r="AA125" s="768"/>
    </row>
    <row r="126" spans="1:27">
      <c r="A126" s="2280">
        <v>39</v>
      </c>
      <c r="B126" s="2483"/>
      <c r="C126" s="2483"/>
      <c r="D126" s="2487">
        <f t="shared" si="10"/>
        <v>2023</v>
      </c>
      <c r="E126" s="2487"/>
      <c r="F126" s="2487"/>
      <c r="G126" s="2487"/>
      <c r="H126" s="2487" t="s">
        <v>297</v>
      </c>
      <c r="I126" s="2487"/>
      <c r="J126" s="2487"/>
      <c r="K126" s="2487"/>
      <c r="L126" s="2487"/>
      <c r="M126" s="2487"/>
      <c r="N126" s="2487"/>
      <c r="O126" s="2487"/>
      <c r="P126" s="2488">
        <v>60000</v>
      </c>
      <c r="Q126" s="2489"/>
      <c r="R126" s="2489"/>
      <c r="S126" s="2489"/>
      <c r="T126" s="2284">
        <f>ROUND(IPMT(($AA$3%+0.35%)/11,1,$D$219-$D$208+1,$P$220-(SUM($P$4:P125)))*-1,2)</f>
        <v>13200</v>
      </c>
      <c r="U126" s="2284"/>
      <c r="V126" s="2284"/>
      <c r="W126" s="2284"/>
      <c r="X126" s="768"/>
      <c r="Y126" s="773"/>
      <c r="Z126" s="772"/>
      <c r="AA126" s="768"/>
    </row>
    <row r="127" spans="1:27">
      <c r="A127" s="2280">
        <v>40</v>
      </c>
      <c r="B127" s="2483"/>
      <c r="C127" s="2483"/>
      <c r="D127" s="2487">
        <f t="shared" si="10"/>
        <v>2023</v>
      </c>
      <c r="E127" s="2487"/>
      <c r="F127" s="2487"/>
      <c r="G127" s="2487"/>
      <c r="H127" s="2487" t="s">
        <v>298</v>
      </c>
      <c r="I127" s="2487"/>
      <c r="J127" s="2487"/>
      <c r="K127" s="2487"/>
      <c r="L127" s="2487"/>
      <c r="M127" s="2487"/>
      <c r="N127" s="2487"/>
      <c r="O127" s="2487"/>
      <c r="P127" s="2488">
        <v>60000</v>
      </c>
      <c r="Q127" s="2489"/>
      <c r="R127" s="2489"/>
      <c r="S127" s="2489"/>
      <c r="T127" s="2284">
        <f>ROUND(IPMT(($AA$3%+0.35%)/11,1,$D$219-$D$208+1,$P$220-(SUM($P$4:P126)))*-1,2)</f>
        <v>13050</v>
      </c>
      <c r="U127" s="2284"/>
      <c r="V127" s="2284"/>
      <c r="W127" s="2284"/>
      <c r="X127" s="768"/>
      <c r="Y127" s="773"/>
      <c r="Z127" s="772"/>
      <c r="AA127" s="768"/>
    </row>
    <row r="128" spans="1:27">
      <c r="A128" s="2280">
        <v>41</v>
      </c>
      <c r="B128" s="2483"/>
      <c r="C128" s="2483"/>
      <c r="D128" s="2487">
        <f t="shared" si="10"/>
        <v>2023</v>
      </c>
      <c r="E128" s="2487"/>
      <c r="F128" s="2487"/>
      <c r="G128" s="2487"/>
      <c r="H128" s="2487" t="s">
        <v>299</v>
      </c>
      <c r="I128" s="2487"/>
      <c r="J128" s="2487"/>
      <c r="K128" s="2487"/>
      <c r="L128" s="2487"/>
      <c r="M128" s="2487"/>
      <c r="N128" s="2487"/>
      <c r="O128" s="2487"/>
      <c r="P128" s="2488">
        <v>60000</v>
      </c>
      <c r="Q128" s="2489"/>
      <c r="R128" s="2489"/>
      <c r="S128" s="2489"/>
      <c r="T128" s="2284">
        <f>ROUND(IPMT(($AA$3%+0.35%)/11,1,$D$219-$D$208+1,$P$220-(SUM($P$4:P127)))*-1,2)</f>
        <v>12900</v>
      </c>
      <c r="U128" s="2284"/>
      <c r="V128" s="2284"/>
      <c r="W128" s="2284"/>
      <c r="X128" s="768"/>
      <c r="Y128" s="773"/>
      <c r="Z128" s="772"/>
      <c r="AA128" s="768"/>
    </row>
    <row r="129" spans="1:27">
      <c r="A129" s="2280">
        <v>42</v>
      </c>
      <c r="B129" s="2483"/>
      <c r="C129" s="2483"/>
      <c r="D129" s="2487">
        <f t="shared" si="10"/>
        <v>2023</v>
      </c>
      <c r="E129" s="2487"/>
      <c r="F129" s="2487"/>
      <c r="G129" s="2487"/>
      <c r="H129" s="2487" t="s">
        <v>300</v>
      </c>
      <c r="I129" s="2487"/>
      <c r="J129" s="2487"/>
      <c r="K129" s="2487"/>
      <c r="L129" s="2487"/>
      <c r="M129" s="2487"/>
      <c r="N129" s="2487"/>
      <c r="O129" s="2487"/>
      <c r="P129" s="2488">
        <v>60000</v>
      </c>
      <c r="Q129" s="2489"/>
      <c r="R129" s="2489"/>
      <c r="S129" s="2489"/>
      <c r="T129" s="2284">
        <f>ROUND(IPMT(($AA$3%+0.35%)/11,1,$D$219-$D$208+1,$P$220-(SUM($P$4:P128)))*-1,2)</f>
        <v>12750</v>
      </c>
      <c r="U129" s="2284"/>
      <c r="V129" s="2284"/>
      <c r="W129" s="2284"/>
      <c r="X129" s="768"/>
      <c r="Y129" s="773"/>
      <c r="Z129" s="772"/>
      <c r="AA129" s="768"/>
    </row>
    <row r="130" spans="1:27">
      <c r="A130" s="2280">
        <v>43</v>
      </c>
      <c r="B130" s="2483"/>
      <c r="C130" s="2483"/>
      <c r="D130" s="2487">
        <f t="shared" si="10"/>
        <v>2023</v>
      </c>
      <c r="E130" s="2487"/>
      <c r="F130" s="2487"/>
      <c r="G130" s="2487"/>
      <c r="H130" s="2487" t="s">
        <v>301</v>
      </c>
      <c r="I130" s="2487"/>
      <c r="J130" s="2487"/>
      <c r="K130" s="2487"/>
      <c r="L130" s="2487"/>
      <c r="M130" s="2487"/>
      <c r="N130" s="2487"/>
      <c r="O130" s="2487"/>
      <c r="P130" s="2488">
        <v>60000</v>
      </c>
      <c r="Q130" s="2489"/>
      <c r="R130" s="2489"/>
      <c r="S130" s="2489"/>
      <c r="T130" s="2284">
        <f>ROUND(IPMT(($AA$3%+0.35%)/11,1,$D$219-$D$208+1,$P$220-(SUM($P$4:P129)))*-1,2)</f>
        <v>12600</v>
      </c>
      <c r="U130" s="2284"/>
      <c r="V130" s="2284"/>
      <c r="W130" s="2284"/>
      <c r="X130" s="768"/>
      <c r="Y130" s="773"/>
      <c r="Z130" s="772"/>
      <c r="AA130" s="768"/>
    </row>
    <row r="131" spans="1:27">
      <c r="A131" s="2280">
        <v>44</v>
      </c>
      <c r="B131" s="2483"/>
      <c r="C131" s="2483"/>
      <c r="D131" s="2487">
        <f t="shared" si="10"/>
        <v>2023</v>
      </c>
      <c r="E131" s="2487"/>
      <c r="F131" s="2487"/>
      <c r="G131" s="2487"/>
      <c r="H131" s="2487" t="s">
        <v>302</v>
      </c>
      <c r="I131" s="2487"/>
      <c r="J131" s="2487"/>
      <c r="K131" s="2487"/>
      <c r="L131" s="2487"/>
      <c r="M131" s="2487"/>
      <c r="N131" s="2487"/>
      <c r="O131" s="2487"/>
      <c r="P131" s="2488">
        <v>60000</v>
      </c>
      <c r="Q131" s="2489"/>
      <c r="R131" s="2489"/>
      <c r="S131" s="2489"/>
      <c r="T131" s="2284">
        <f>ROUND(IPMT(($AA$3%+0.35%)/11,1,$D$219-$D$208+1,$P$220-(SUM($P$4:P130)))*-1,2)</f>
        <v>12450</v>
      </c>
      <c r="U131" s="2284"/>
      <c r="V131" s="2284"/>
      <c r="W131" s="2284"/>
      <c r="X131" s="768"/>
      <c r="Y131" s="773"/>
      <c r="Z131" s="772"/>
      <c r="AA131" s="768"/>
    </row>
    <row r="132" spans="1:27">
      <c r="A132" s="2280">
        <v>45</v>
      </c>
      <c r="B132" s="2483"/>
      <c r="C132" s="2483"/>
      <c r="D132" s="2487">
        <f t="shared" si="10"/>
        <v>2023</v>
      </c>
      <c r="E132" s="2487"/>
      <c r="F132" s="2487"/>
      <c r="G132" s="2487"/>
      <c r="H132" s="2487" t="s">
        <v>303</v>
      </c>
      <c r="I132" s="2487"/>
      <c r="J132" s="2487"/>
      <c r="K132" s="2487"/>
      <c r="L132" s="2487"/>
      <c r="M132" s="2487"/>
      <c r="N132" s="2487"/>
      <c r="O132" s="2487"/>
      <c r="P132" s="2488">
        <v>60000</v>
      </c>
      <c r="Q132" s="2489"/>
      <c r="R132" s="2489"/>
      <c r="S132" s="2489"/>
      <c r="T132" s="2284">
        <f>ROUND(IPMT(($AA$3%+0.35%)/11,1,$D$219-$D$208+1,$P$220-(SUM($P$4:P131)))*-1,2)</f>
        <v>12300</v>
      </c>
      <c r="U132" s="2284"/>
      <c r="V132" s="2284"/>
      <c r="W132" s="2284"/>
      <c r="X132" s="768"/>
      <c r="Y132" s="773"/>
      <c r="Z132" s="772"/>
      <c r="AA132" s="768"/>
    </row>
    <row r="133" spans="1:27">
      <c r="A133" s="2280">
        <v>46</v>
      </c>
      <c r="B133" s="2483"/>
      <c r="C133" s="2483"/>
      <c r="D133" s="2487">
        <f t="shared" si="10"/>
        <v>2023</v>
      </c>
      <c r="E133" s="2487"/>
      <c r="F133" s="2487"/>
      <c r="G133" s="2487"/>
      <c r="H133" s="2487" t="s">
        <v>304</v>
      </c>
      <c r="I133" s="2487"/>
      <c r="J133" s="2487"/>
      <c r="K133" s="2487"/>
      <c r="L133" s="2487"/>
      <c r="M133" s="2487"/>
      <c r="N133" s="2487"/>
      <c r="O133" s="2487"/>
      <c r="P133" s="2488">
        <v>60000</v>
      </c>
      <c r="Q133" s="2489"/>
      <c r="R133" s="2489"/>
      <c r="S133" s="2489"/>
      <c r="T133" s="2284">
        <f>ROUND(IPMT(($AA$3%+0.35%)/11,1,$D$219-$D$208+1,$P$220-(SUM($P$4:P132)))*-1,2)</f>
        <v>12150</v>
      </c>
      <c r="U133" s="2284"/>
      <c r="V133" s="2284"/>
      <c r="W133" s="2284"/>
      <c r="X133" s="768"/>
      <c r="Y133" s="773"/>
      <c r="Z133" s="772"/>
      <c r="AA133" s="768"/>
    </row>
    <row r="134" spans="1:27">
      <c r="A134" s="2280">
        <v>47</v>
      </c>
      <c r="B134" s="2483"/>
      <c r="C134" s="2483"/>
      <c r="D134" s="2487">
        <f t="shared" si="10"/>
        <v>2023</v>
      </c>
      <c r="E134" s="2487"/>
      <c r="F134" s="2487"/>
      <c r="G134" s="2487"/>
      <c r="H134" s="2487" t="s">
        <v>305</v>
      </c>
      <c r="I134" s="2487"/>
      <c r="J134" s="2487"/>
      <c r="K134" s="2487"/>
      <c r="L134" s="2487"/>
      <c r="M134" s="2487"/>
      <c r="N134" s="2487"/>
      <c r="O134" s="2487"/>
      <c r="P134" s="2488">
        <v>60000</v>
      </c>
      <c r="Q134" s="2489"/>
      <c r="R134" s="2489"/>
      <c r="S134" s="2489"/>
      <c r="T134" s="2284">
        <f>ROUND(IPMT(($AA$3%+0.35%)/11,1,$D$219-$D$208+1,$P$220-(SUM($P$4:P133)))*-1,2)</f>
        <v>12000</v>
      </c>
      <c r="U134" s="2284"/>
      <c r="V134" s="2284"/>
      <c r="W134" s="2284"/>
      <c r="X134" s="768"/>
      <c r="Y134" s="773"/>
      <c r="Z134" s="772"/>
      <c r="AA134" s="768"/>
    </row>
    <row r="135" spans="1:27">
      <c r="A135" s="2280">
        <v>48</v>
      </c>
      <c r="B135" s="2483"/>
      <c r="C135" s="2483"/>
      <c r="D135" s="2487">
        <f t="shared" si="10"/>
        <v>2023</v>
      </c>
      <c r="E135" s="2487"/>
      <c r="F135" s="2487"/>
      <c r="G135" s="2487"/>
      <c r="H135" s="2502" t="s">
        <v>306</v>
      </c>
      <c r="I135" s="2502"/>
      <c r="J135" s="2502"/>
      <c r="K135" s="2502"/>
      <c r="L135" s="2502"/>
      <c r="M135" s="2502"/>
      <c r="N135" s="2502"/>
      <c r="O135" s="2502"/>
      <c r="P135" s="2488">
        <v>60000</v>
      </c>
      <c r="Q135" s="2489"/>
      <c r="R135" s="2489"/>
      <c r="S135" s="2489"/>
      <c r="T135" s="2279">
        <f>ROUND(IPMT(($AA$3%+0.35%)/11,1,$D$219-$D$208+1,$P$220-(SUM($P$4:P134)))*-1,2)</f>
        <v>11850</v>
      </c>
      <c r="U135" s="2279"/>
      <c r="V135" s="2279"/>
      <c r="W135" s="2279"/>
      <c r="X135" s="768"/>
      <c r="Y135" s="2494">
        <f>SUM(T124:W135)</f>
        <v>152100</v>
      </c>
      <c r="Z135" s="2495"/>
      <c r="AA135" s="768"/>
    </row>
    <row r="136" spans="1:27">
      <c r="A136" s="2496">
        <v>37</v>
      </c>
      <c r="B136" s="2497"/>
      <c r="C136" s="2497"/>
      <c r="D136" s="2498">
        <f>D125+1</f>
        <v>2024</v>
      </c>
      <c r="E136" s="2498"/>
      <c r="F136" s="2498"/>
      <c r="G136" s="2498"/>
      <c r="H136" s="2498" t="s">
        <v>295</v>
      </c>
      <c r="I136" s="2498"/>
      <c r="J136" s="2498"/>
      <c r="K136" s="2498"/>
      <c r="L136" s="2498"/>
      <c r="M136" s="2498"/>
      <c r="N136" s="2498"/>
      <c r="O136" s="2498"/>
      <c r="P136" s="2499">
        <v>60000</v>
      </c>
      <c r="Q136" s="2500"/>
      <c r="R136" s="2500"/>
      <c r="S136" s="2500"/>
      <c r="T136" s="2501">
        <f>ROUND(IPMT(($AA$3%+0.35%)/11,1,$D$219-$D$88+1,$P$220-(SUM($P$4:P135)))*-1,2)</f>
        <v>11700</v>
      </c>
      <c r="U136" s="2501"/>
      <c r="V136" s="2501"/>
      <c r="W136" s="2501"/>
      <c r="X136" s="768"/>
      <c r="Y136" s="773"/>
      <c r="Z136" s="772"/>
      <c r="AA136" s="768"/>
    </row>
    <row r="137" spans="1:27">
      <c r="A137" s="2280">
        <v>38</v>
      </c>
      <c r="B137" s="2483"/>
      <c r="C137" s="2483"/>
      <c r="D137" s="2487">
        <v>2024</v>
      </c>
      <c r="E137" s="2487"/>
      <c r="F137" s="2487"/>
      <c r="G137" s="2487"/>
      <c r="H137" s="2487" t="s">
        <v>296</v>
      </c>
      <c r="I137" s="2487"/>
      <c r="J137" s="2487"/>
      <c r="K137" s="2487"/>
      <c r="L137" s="2487"/>
      <c r="M137" s="2487"/>
      <c r="N137" s="2487"/>
      <c r="O137" s="2487"/>
      <c r="P137" s="2488">
        <v>60000</v>
      </c>
      <c r="Q137" s="2489"/>
      <c r="R137" s="2489"/>
      <c r="S137" s="2489"/>
      <c r="T137" s="2284">
        <f>ROUND(IPMT(($AA$3%+0.35%)/11,1,$D$219-$D$208+1,$P$220-(SUM($P$4:P136)))*-1,2)</f>
        <v>11550</v>
      </c>
      <c r="U137" s="2284"/>
      <c r="V137" s="2284"/>
      <c r="W137" s="2284"/>
      <c r="X137" s="768"/>
      <c r="Y137" s="773"/>
      <c r="Z137" s="772"/>
      <c r="AA137" s="768"/>
    </row>
    <row r="138" spans="1:27">
      <c r="A138" s="2280">
        <v>39</v>
      </c>
      <c r="B138" s="2483"/>
      <c r="C138" s="2483"/>
      <c r="D138" s="2487">
        <v>2024</v>
      </c>
      <c r="E138" s="2487"/>
      <c r="F138" s="2487"/>
      <c r="G138" s="2487"/>
      <c r="H138" s="2487" t="s">
        <v>297</v>
      </c>
      <c r="I138" s="2487"/>
      <c r="J138" s="2487"/>
      <c r="K138" s="2487"/>
      <c r="L138" s="2487"/>
      <c r="M138" s="2487"/>
      <c r="N138" s="2487"/>
      <c r="O138" s="2487"/>
      <c r="P138" s="2488">
        <v>60000</v>
      </c>
      <c r="Q138" s="2489"/>
      <c r="R138" s="2489"/>
      <c r="S138" s="2489"/>
      <c r="T138" s="2284">
        <f>ROUND(IPMT(($AA$3%+0.35%)/11,1,$D$219-$D$208+1,$P$220-(SUM($P$4:P137)))*-1,2)</f>
        <v>11400</v>
      </c>
      <c r="U138" s="2284"/>
      <c r="V138" s="2284"/>
      <c r="W138" s="2284"/>
      <c r="X138" s="768"/>
      <c r="Y138" s="773"/>
      <c r="Z138" s="772"/>
      <c r="AA138" s="768"/>
    </row>
    <row r="139" spans="1:27">
      <c r="A139" s="2280">
        <v>40</v>
      </c>
      <c r="B139" s="2483"/>
      <c r="C139" s="2483"/>
      <c r="D139" s="2487">
        <v>2024</v>
      </c>
      <c r="E139" s="2487"/>
      <c r="F139" s="2487"/>
      <c r="G139" s="2487"/>
      <c r="H139" s="2487" t="s">
        <v>298</v>
      </c>
      <c r="I139" s="2487"/>
      <c r="J139" s="2487"/>
      <c r="K139" s="2487"/>
      <c r="L139" s="2487"/>
      <c r="M139" s="2487"/>
      <c r="N139" s="2487"/>
      <c r="O139" s="2487"/>
      <c r="P139" s="2488">
        <v>60000</v>
      </c>
      <c r="Q139" s="2489"/>
      <c r="R139" s="2489"/>
      <c r="S139" s="2489"/>
      <c r="T139" s="2284">
        <f>ROUND(IPMT(($AA$3%+0.35%)/11,1,$D$219-$D$208+1,$P$220-(SUM($P$4:P138)))*-1,2)</f>
        <v>11250</v>
      </c>
      <c r="U139" s="2284"/>
      <c r="V139" s="2284"/>
      <c r="W139" s="2284"/>
      <c r="X139" s="768"/>
      <c r="Y139" s="773"/>
      <c r="Z139" s="772"/>
      <c r="AA139" s="768"/>
    </row>
    <row r="140" spans="1:27">
      <c r="A140" s="2280">
        <v>41</v>
      </c>
      <c r="B140" s="2483"/>
      <c r="C140" s="2483"/>
      <c r="D140" s="2487">
        <v>2024</v>
      </c>
      <c r="E140" s="2487"/>
      <c r="F140" s="2487"/>
      <c r="G140" s="2487"/>
      <c r="H140" s="2487" t="s">
        <v>299</v>
      </c>
      <c r="I140" s="2487"/>
      <c r="J140" s="2487"/>
      <c r="K140" s="2487"/>
      <c r="L140" s="2487"/>
      <c r="M140" s="2487"/>
      <c r="N140" s="2487"/>
      <c r="O140" s="2487"/>
      <c r="P140" s="2488">
        <v>60000</v>
      </c>
      <c r="Q140" s="2489"/>
      <c r="R140" s="2489"/>
      <c r="S140" s="2489"/>
      <c r="T140" s="2284">
        <f>ROUND(IPMT(($AA$3%+0.35%)/11,1,$D$219-$D$208+1,$P$220-(SUM($P$4:P139)))*-1,2)</f>
        <v>11100</v>
      </c>
      <c r="U140" s="2284"/>
      <c r="V140" s="2284"/>
      <c r="W140" s="2284"/>
      <c r="X140" s="768"/>
      <c r="Y140" s="773"/>
      <c r="Z140" s="772"/>
      <c r="AA140" s="768"/>
    </row>
    <row r="141" spans="1:27">
      <c r="A141" s="2280">
        <v>42</v>
      </c>
      <c r="B141" s="2483"/>
      <c r="C141" s="2483"/>
      <c r="D141" s="2487">
        <v>2024</v>
      </c>
      <c r="E141" s="2487"/>
      <c r="F141" s="2487"/>
      <c r="G141" s="2487"/>
      <c r="H141" s="2487" t="s">
        <v>300</v>
      </c>
      <c r="I141" s="2487"/>
      <c r="J141" s="2487"/>
      <c r="K141" s="2487"/>
      <c r="L141" s="2487"/>
      <c r="M141" s="2487"/>
      <c r="N141" s="2487"/>
      <c r="O141" s="2487"/>
      <c r="P141" s="2488">
        <v>60000</v>
      </c>
      <c r="Q141" s="2489"/>
      <c r="R141" s="2489"/>
      <c r="S141" s="2489"/>
      <c r="T141" s="2284">
        <f>ROUND(IPMT(($AA$3%+0.35%)/11,1,$D$219-$D$208+1,$P$220-(SUM($P$4:P140)))*-1,2)</f>
        <v>10950</v>
      </c>
      <c r="U141" s="2284"/>
      <c r="V141" s="2284"/>
      <c r="W141" s="2284"/>
      <c r="X141" s="768"/>
      <c r="Y141" s="773"/>
      <c r="Z141" s="772"/>
      <c r="AA141" s="768"/>
    </row>
    <row r="142" spans="1:27">
      <c r="A142" s="2280">
        <v>43</v>
      </c>
      <c r="B142" s="2483"/>
      <c r="C142" s="2483"/>
      <c r="D142" s="2487">
        <v>2024</v>
      </c>
      <c r="E142" s="2487"/>
      <c r="F142" s="2487"/>
      <c r="G142" s="2487"/>
      <c r="H142" s="2487" t="s">
        <v>301</v>
      </c>
      <c r="I142" s="2487"/>
      <c r="J142" s="2487"/>
      <c r="K142" s="2487"/>
      <c r="L142" s="2487"/>
      <c r="M142" s="2487"/>
      <c r="N142" s="2487"/>
      <c r="O142" s="2487"/>
      <c r="P142" s="2488">
        <v>60000</v>
      </c>
      <c r="Q142" s="2489"/>
      <c r="R142" s="2489"/>
      <c r="S142" s="2489"/>
      <c r="T142" s="2284">
        <f>ROUND(IPMT(($AA$3%+0.35%)/11,1,$D$219-$D$208+1,$P$220-(SUM($P$4:P141)))*-1,2)</f>
        <v>10800</v>
      </c>
      <c r="U142" s="2284"/>
      <c r="V142" s="2284"/>
      <c r="W142" s="2284"/>
      <c r="X142" s="768"/>
      <c r="Y142" s="773"/>
      <c r="Z142" s="772"/>
      <c r="AA142" s="768"/>
    </row>
    <row r="143" spans="1:27">
      <c r="A143" s="2280">
        <v>44</v>
      </c>
      <c r="B143" s="2483"/>
      <c r="C143" s="2483"/>
      <c r="D143" s="2487">
        <v>2024</v>
      </c>
      <c r="E143" s="2487"/>
      <c r="F143" s="2487"/>
      <c r="G143" s="2487"/>
      <c r="H143" s="2487" t="s">
        <v>302</v>
      </c>
      <c r="I143" s="2487"/>
      <c r="J143" s="2487"/>
      <c r="K143" s="2487"/>
      <c r="L143" s="2487"/>
      <c r="M143" s="2487"/>
      <c r="N143" s="2487"/>
      <c r="O143" s="2487"/>
      <c r="P143" s="2488">
        <v>60000</v>
      </c>
      <c r="Q143" s="2489"/>
      <c r="R143" s="2489"/>
      <c r="S143" s="2489"/>
      <c r="T143" s="2284">
        <f>ROUND(IPMT(($AA$3%+0.35%)/11,1,$D$219-$D$208+1,$P$220-(SUM($P$4:P142)))*-1,2)</f>
        <v>10650</v>
      </c>
      <c r="U143" s="2284"/>
      <c r="V143" s="2284"/>
      <c r="W143" s="2284"/>
      <c r="X143" s="768"/>
      <c r="Y143" s="773"/>
      <c r="Z143" s="772"/>
      <c r="AA143" s="768"/>
    </row>
    <row r="144" spans="1:27">
      <c r="A144" s="2280">
        <v>45</v>
      </c>
      <c r="B144" s="2483"/>
      <c r="C144" s="2483"/>
      <c r="D144" s="2487">
        <v>2024</v>
      </c>
      <c r="E144" s="2487"/>
      <c r="F144" s="2487"/>
      <c r="G144" s="2487"/>
      <c r="H144" s="2487" t="s">
        <v>303</v>
      </c>
      <c r="I144" s="2487"/>
      <c r="J144" s="2487"/>
      <c r="K144" s="2487"/>
      <c r="L144" s="2487"/>
      <c r="M144" s="2487"/>
      <c r="N144" s="2487"/>
      <c r="O144" s="2487"/>
      <c r="P144" s="2488">
        <v>60000</v>
      </c>
      <c r="Q144" s="2489"/>
      <c r="R144" s="2489"/>
      <c r="S144" s="2489"/>
      <c r="T144" s="2284">
        <f>ROUND(IPMT(($AA$3%+0.35%)/11,1,$D$219-$D$208+1,$P$220-(SUM($P$4:P143)))*-1,2)</f>
        <v>10500</v>
      </c>
      <c r="U144" s="2284"/>
      <c r="V144" s="2284"/>
      <c r="W144" s="2284"/>
      <c r="X144" s="768"/>
      <c r="Y144" s="773"/>
      <c r="Z144" s="772"/>
      <c r="AA144" s="768"/>
    </row>
    <row r="145" spans="1:27">
      <c r="A145" s="2280">
        <v>46</v>
      </c>
      <c r="B145" s="2483"/>
      <c r="C145" s="2483"/>
      <c r="D145" s="2487">
        <v>2024</v>
      </c>
      <c r="E145" s="2487"/>
      <c r="F145" s="2487"/>
      <c r="G145" s="2487"/>
      <c r="H145" s="2487" t="s">
        <v>304</v>
      </c>
      <c r="I145" s="2487"/>
      <c r="J145" s="2487"/>
      <c r="K145" s="2487"/>
      <c r="L145" s="2487"/>
      <c r="M145" s="2487"/>
      <c r="N145" s="2487"/>
      <c r="O145" s="2487"/>
      <c r="P145" s="2488">
        <v>60000</v>
      </c>
      <c r="Q145" s="2489"/>
      <c r="R145" s="2489"/>
      <c r="S145" s="2489"/>
      <c r="T145" s="2284">
        <f>ROUND(IPMT(($AA$3%+0.35%)/11,1,$D$219-$D$208+1,$P$220-(SUM($P$4:P144)))*-1,2)</f>
        <v>10350</v>
      </c>
      <c r="U145" s="2284"/>
      <c r="V145" s="2284"/>
      <c r="W145" s="2284"/>
      <c r="X145" s="768"/>
      <c r="Y145" s="773"/>
      <c r="Z145" s="772"/>
      <c r="AA145" s="768"/>
    </row>
    <row r="146" spans="1:27">
      <c r="A146" s="2280">
        <v>47</v>
      </c>
      <c r="B146" s="2483"/>
      <c r="C146" s="2483"/>
      <c r="D146" s="2487">
        <v>2024</v>
      </c>
      <c r="E146" s="2487"/>
      <c r="F146" s="2487"/>
      <c r="G146" s="2487"/>
      <c r="H146" s="2487" t="s">
        <v>305</v>
      </c>
      <c r="I146" s="2487"/>
      <c r="J146" s="2487"/>
      <c r="K146" s="2487"/>
      <c r="L146" s="2487"/>
      <c r="M146" s="2487"/>
      <c r="N146" s="2487"/>
      <c r="O146" s="2487"/>
      <c r="P146" s="2488">
        <v>60000</v>
      </c>
      <c r="Q146" s="2489"/>
      <c r="R146" s="2489"/>
      <c r="S146" s="2489"/>
      <c r="T146" s="2284">
        <f>ROUND(IPMT(($AA$3%+0.35%)/11,1,$D$219-$D$208+1,$P$220-(SUM($P$4:P145)))*-1,2)</f>
        <v>10200</v>
      </c>
      <c r="U146" s="2284"/>
      <c r="V146" s="2284"/>
      <c r="W146" s="2284"/>
      <c r="X146" s="768"/>
      <c r="Y146" s="773"/>
      <c r="Z146" s="772"/>
      <c r="AA146" s="768"/>
    </row>
    <row r="147" spans="1:27">
      <c r="A147" s="2280">
        <v>48</v>
      </c>
      <c r="B147" s="2483"/>
      <c r="C147" s="2483"/>
      <c r="D147" s="2502">
        <v>2024</v>
      </c>
      <c r="E147" s="2502"/>
      <c r="F147" s="2502"/>
      <c r="G147" s="2502"/>
      <c r="H147" s="2502" t="s">
        <v>306</v>
      </c>
      <c r="I147" s="2502"/>
      <c r="J147" s="2502"/>
      <c r="K147" s="2502"/>
      <c r="L147" s="2502"/>
      <c r="M147" s="2502"/>
      <c r="N147" s="2502"/>
      <c r="O147" s="2502"/>
      <c r="P147" s="2488">
        <v>60000</v>
      </c>
      <c r="Q147" s="2489"/>
      <c r="R147" s="2489"/>
      <c r="S147" s="2489"/>
      <c r="T147" s="2279">
        <f>ROUND(IPMT(($AA$3%+0.35%)/11,1,$D$219-$D$208+1,$P$220-(SUM($P$4:P146)))*-1,2)</f>
        <v>10050</v>
      </c>
      <c r="U147" s="2279"/>
      <c r="V147" s="2279"/>
      <c r="W147" s="2279"/>
      <c r="X147" s="768"/>
      <c r="Y147" s="2494">
        <f>SUM(T136:W147)</f>
        <v>130500</v>
      </c>
      <c r="Z147" s="2495"/>
      <c r="AA147" s="768"/>
    </row>
    <row r="148" spans="1:27">
      <c r="A148" s="2496">
        <v>38</v>
      </c>
      <c r="B148" s="2497"/>
      <c r="C148" s="2497"/>
      <c r="D148" s="2498">
        <f>D137+1</f>
        <v>2025</v>
      </c>
      <c r="E148" s="2498"/>
      <c r="F148" s="2498"/>
      <c r="G148" s="2498"/>
      <c r="H148" s="2498" t="s">
        <v>295</v>
      </c>
      <c r="I148" s="2498"/>
      <c r="J148" s="2498"/>
      <c r="K148" s="2498"/>
      <c r="L148" s="2498"/>
      <c r="M148" s="2498"/>
      <c r="N148" s="2498"/>
      <c r="O148" s="2498"/>
      <c r="P148" s="2499">
        <v>60000</v>
      </c>
      <c r="Q148" s="2500"/>
      <c r="R148" s="2500"/>
      <c r="S148" s="2500"/>
      <c r="T148" s="2501">
        <f>ROUND(IPMT(($AA$3%+0.35%)/11,1,$D$219-$D$208+1,$P$220-(SUM($P$4:P147)))*-1,2)</f>
        <v>9900</v>
      </c>
      <c r="U148" s="2501"/>
      <c r="V148" s="2501"/>
      <c r="W148" s="2501"/>
      <c r="X148" s="768"/>
      <c r="Y148" s="773"/>
      <c r="Z148" s="772"/>
      <c r="AA148" s="768"/>
    </row>
    <row r="149" spans="1:27">
      <c r="A149" s="2280">
        <v>38</v>
      </c>
      <c r="B149" s="2483"/>
      <c r="C149" s="2483"/>
      <c r="D149" s="2487">
        <v>2025</v>
      </c>
      <c r="E149" s="2487"/>
      <c r="F149" s="2487"/>
      <c r="G149" s="2487"/>
      <c r="H149" s="2487" t="s">
        <v>296</v>
      </c>
      <c r="I149" s="2487"/>
      <c r="J149" s="2487"/>
      <c r="K149" s="2487"/>
      <c r="L149" s="2487"/>
      <c r="M149" s="2487"/>
      <c r="N149" s="2487"/>
      <c r="O149" s="2487"/>
      <c r="P149" s="2488">
        <v>60000</v>
      </c>
      <c r="Q149" s="2489"/>
      <c r="R149" s="2489"/>
      <c r="S149" s="2489"/>
      <c r="T149" s="2284">
        <f>ROUND(IPMT(($AA$3%+0.35%)/11,1,$D$219-$D$208+1,$P$220-(SUM($P$4:P148)))*-1,2)</f>
        <v>9750</v>
      </c>
      <c r="U149" s="2284"/>
      <c r="V149" s="2284"/>
      <c r="W149" s="2284"/>
      <c r="X149" s="768"/>
      <c r="Y149" s="773"/>
      <c r="Z149" s="772"/>
      <c r="AA149" s="768"/>
    </row>
    <row r="150" spans="1:27">
      <c r="A150" s="2280">
        <v>39</v>
      </c>
      <c r="B150" s="2483"/>
      <c r="C150" s="2483"/>
      <c r="D150" s="2487">
        <v>2025</v>
      </c>
      <c r="E150" s="2487"/>
      <c r="F150" s="2487"/>
      <c r="G150" s="2487"/>
      <c r="H150" s="2487" t="s">
        <v>297</v>
      </c>
      <c r="I150" s="2487"/>
      <c r="J150" s="2487"/>
      <c r="K150" s="2487"/>
      <c r="L150" s="2487"/>
      <c r="M150" s="2487"/>
      <c r="N150" s="2487"/>
      <c r="O150" s="2487"/>
      <c r="P150" s="2488">
        <v>60000</v>
      </c>
      <c r="Q150" s="2489"/>
      <c r="R150" s="2489"/>
      <c r="S150" s="2489"/>
      <c r="T150" s="2284">
        <f>ROUND(IPMT(($AA$3%+0.35%)/11,1,$D$219-$D$208+1,$P$220-(SUM($P$4:P149)))*-1,2)</f>
        <v>9600</v>
      </c>
      <c r="U150" s="2284"/>
      <c r="V150" s="2284"/>
      <c r="W150" s="2284"/>
      <c r="X150" s="768"/>
      <c r="Y150" s="773"/>
      <c r="Z150" s="772"/>
      <c r="AA150" s="768"/>
    </row>
    <row r="151" spans="1:27">
      <c r="A151" s="2280">
        <v>40</v>
      </c>
      <c r="B151" s="2483"/>
      <c r="C151" s="2483"/>
      <c r="D151" s="2487">
        <v>2025</v>
      </c>
      <c r="E151" s="2487"/>
      <c r="F151" s="2487"/>
      <c r="G151" s="2487"/>
      <c r="H151" s="2487" t="s">
        <v>298</v>
      </c>
      <c r="I151" s="2487"/>
      <c r="J151" s="2487"/>
      <c r="K151" s="2487"/>
      <c r="L151" s="2487"/>
      <c r="M151" s="2487"/>
      <c r="N151" s="2487"/>
      <c r="O151" s="2487"/>
      <c r="P151" s="2488">
        <v>60000</v>
      </c>
      <c r="Q151" s="2489"/>
      <c r="R151" s="2489"/>
      <c r="S151" s="2489"/>
      <c r="T151" s="2284">
        <f>ROUND(IPMT(($AA$3%+0.35%)/11,1,$D$219-$D$208+1,$P$220-(SUM($P$4:P150)))*-1,2)</f>
        <v>9450</v>
      </c>
      <c r="U151" s="2284"/>
      <c r="V151" s="2284"/>
      <c r="W151" s="2284"/>
      <c r="X151" s="768"/>
      <c r="Y151" s="773"/>
      <c r="Z151" s="772"/>
      <c r="AA151" s="768"/>
    </row>
    <row r="152" spans="1:27">
      <c r="A152" s="2280">
        <v>41</v>
      </c>
      <c r="B152" s="2483"/>
      <c r="C152" s="2483"/>
      <c r="D152" s="2487">
        <v>2025</v>
      </c>
      <c r="E152" s="2487"/>
      <c r="F152" s="2487"/>
      <c r="G152" s="2487"/>
      <c r="H152" s="2487" t="s">
        <v>299</v>
      </c>
      <c r="I152" s="2487"/>
      <c r="J152" s="2487"/>
      <c r="K152" s="2487"/>
      <c r="L152" s="2487"/>
      <c r="M152" s="2487"/>
      <c r="N152" s="2487"/>
      <c r="O152" s="2487"/>
      <c r="P152" s="2488">
        <v>60000</v>
      </c>
      <c r="Q152" s="2489"/>
      <c r="R152" s="2489"/>
      <c r="S152" s="2489"/>
      <c r="T152" s="2284">
        <f>ROUND(IPMT(($AA$3%+0.35%)/11,1,$D$219-$D$208+1,$P$220-(SUM($P$4:P151)))*-1,2)</f>
        <v>9300</v>
      </c>
      <c r="U152" s="2284"/>
      <c r="V152" s="2284"/>
      <c r="W152" s="2284"/>
      <c r="X152" s="768"/>
      <c r="Y152" s="773"/>
      <c r="Z152" s="772"/>
      <c r="AA152" s="768"/>
    </row>
    <row r="153" spans="1:27">
      <c r="A153" s="2280">
        <v>42</v>
      </c>
      <c r="B153" s="2483"/>
      <c r="C153" s="2483"/>
      <c r="D153" s="2487">
        <v>2025</v>
      </c>
      <c r="E153" s="2487"/>
      <c r="F153" s="2487"/>
      <c r="G153" s="2487"/>
      <c r="H153" s="2487" t="s">
        <v>300</v>
      </c>
      <c r="I153" s="2487"/>
      <c r="J153" s="2487"/>
      <c r="K153" s="2487"/>
      <c r="L153" s="2487"/>
      <c r="M153" s="2487"/>
      <c r="N153" s="2487"/>
      <c r="O153" s="2487"/>
      <c r="P153" s="2488">
        <v>60000</v>
      </c>
      <c r="Q153" s="2489"/>
      <c r="R153" s="2489"/>
      <c r="S153" s="2489"/>
      <c r="T153" s="2284">
        <f>ROUND(IPMT(($AA$3%+0.35%)/11,1,$D$219-$D$208+1,$P$220-(SUM($P$4:P152)))*-1,2)</f>
        <v>9150</v>
      </c>
      <c r="U153" s="2284"/>
      <c r="V153" s="2284"/>
      <c r="W153" s="2284"/>
      <c r="X153" s="768"/>
      <c r="Y153" s="773"/>
      <c r="Z153" s="772"/>
      <c r="AA153" s="768"/>
    </row>
    <row r="154" spans="1:27">
      <c r="A154" s="2280">
        <v>43</v>
      </c>
      <c r="B154" s="2483"/>
      <c r="C154" s="2483"/>
      <c r="D154" s="2487">
        <v>2025</v>
      </c>
      <c r="E154" s="2487"/>
      <c r="F154" s="2487"/>
      <c r="G154" s="2487"/>
      <c r="H154" s="2487" t="s">
        <v>301</v>
      </c>
      <c r="I154" s="2487"/>
      <c r="J154" s="2487"/>
      <c r="K154" s="2487"/>
      <c r="L154" s="2487"/>
      <c r="M154" s="2487"/>
      <c r="N154" s="2487"/>
      <c r="O154" s="2487"/>
      <c r="P154" s="2488">
        <v>60000</v>
      </c>
      <c r="Q154" s="2489"/>
      <c r="R154" s="2489"/>
      <c r="S154" s="2489"/>
      <c r="T154" s="2284">
        <f>ROUND(IPMT(($AA$3%+0.35%)/11,1,$D$219-$D$208+1,$P$220-(SUM($P$4:P153)))*-1,2)</f>
        <v>9000</v>
      </c>
      <c r="U154" s="2284"/>
      <c r="V154" s="2284"/>
      <c r="W154" s="2284"/>
      <c r="X154" s="768"/>
      <c r="Y154" s="773"/>
      <c r="Z154" s="772"/>
      <c r="AA154" s="768"/>
    </row>
    <row r="155" spans="1:27">
      <c r="A155" s="2280">
        <v>44</v>
      </c>
      <c r="B155" s="2483"/>
      <c r="C155" s="2483"/>
      <c r="D155" s="2487">
        <v>2025</v>
      </c>
      <c r="E155" s="2487"/>
      <c r="F155" s="2487"/>
      <c r="G155" s="2487"/>
      <c r="H155" s="2487" t="s">
        <v>302</v>
      </c>
      <c r="I155" s="2487"/>
      <c r="J155" s="2487"/>
      <c r="K155" s="2487"/>
      <c r="L155" s="2487"/>
      <c r="M155" s="2487"/>
      <c r="N155" s="2487"/>
      <c r="O155" s="2487"/>
      <c r="P155" s="2488">
        <v>60000</v>
      </c>
      <c r="Q155" s="2489"/>
      <c r="R155" s="2489"/>
      <c r="S155" s="2489"/>
      <c r="T155" s="2284">
        <f>ROUND(IPMT(($AA$3%+0.35%)/11,1,$D$219-$D$208+1,$P$220-(SUM($P$4:P154)))*-1,2)</f>
        <v>8850</v>
      </c>
      <c r="U155" s="2284"/>
      <c r="V155" s="2284"/>
      <c r="W155" s="2284"/>
      <c r="X155" s="768"/>
      <c r="Y155" s="773"/>
      <c r="Z155" s="772"/>
      <c r="AA155" s="768"/>
    </row>
    <row r="156" spans="1:27">
      <c r="A156" s="2280">
        <v>45</v>
      </c>
      <c r="B156" s="2483"/>
      <c r="C156" s="2483"/>
      <c r="D156" s="2487">
        <v>2025</v>
      </c>
      <c r="E156" s="2487"/>
      <c r="F156" s="2487"/>
      <c r="G156" s="2487"/>
      <c r="H156" s="2487" t="s">
        <v>303</v>
      </c>
      <c r="I156" s="2487"/>
      <c r="J156" s="2487"/>
      <c r="K156" s="2487"/>
      <c r="L156" s="2487"/>
      <c r="M156" s="2487"/>
      <c r="N156" s="2487"/>
      <c r="O156" s="2487"/>
      <c r="P156" s="2488">
        <v>60000</v>
      </c>
      <c r="Q156" s="2489"/>
      <c r="R156" s="2489"/>
      <c r="S156" s="2489"/>
      <c r="T156" s="2284">
        <f>ROUND(IPMT(($AA$3%+0.35%)/11,1,$D$219-$D$208+1,$P$220-(SUM($P$4:P155)))*-1,2)</f>
        <v>8700</v>
      </c>
      <c r="U156" s="2284"/>
      <c r="V156" s="2284"/>
      <c r="W156" s="2284"/>
      <c r="X156" s="768"/>
      <c r="Y156" s="773"/>
      <c r="Z156" s="772"/>
      <c r="AA156" s="768"/>
    </row>
    <row r="157" spans="1:27">
      <c r="A157" s="2280">
        <v>46</v>
      </c>
      <c r="B157" s="2483"/>
      <c r="C157" s="2483"/>
      <c r="D157" s="2487">
        <v>2025</v>
      </c>
      <c r="E157" s="2487"/>
      <c r="F157" s="2487"/>
      <c r="G157" s="2487"/>
      <c r="H157" s="2487" t="s">
        <v>304</v>
      </c>
      <c r="I157" s="2487"/>
      <c r="J157" s="2487"/>
      <c r="K157" s="2487"/>
      <c r="L157" s="2487"/>
      <c r="M157" s="2487"/>
      <c r="N157" s="2487"/>
      <c r="O157" s="2487"/>
      <c r="P157" s="2488">
        <v>60000</v>
      </c>
      <c r="Q157" s="2489"/>
      <c r="R157" s="2489"/>
      <c r="S157" s="2489"/>
      <c r="T157" s="2284">
        <f>ROUND(IPMT(($AA$3%+0.35%)/11,1,$D$219-$D$208+1,$P$220-(SUM($P$4:P156)))*-1,2)</f>
        <v>8550</v>
      </c>
      <c r="U157" s="2284"/>
      <c r="V157" s="2284"/>
      <c r="W157" s="2284"/>
      <c r="X157" s="768"/>
      <c r="Y157" s="773"/>
      <c r="Z157" s="772"/>
      <c r="AA157" s="768"/>
    </row>
    <row r="158" spans="1:27">
      <c r="A158" s="2280">
        <v>47</v>
      </c>
      <c r="B158" s="2483"/>
      <c r="C158" s="2483"/>
      <c r="D158" s="2487">
        <v>2025</v>
      </c>
      <c r="E158" s="2487"/>
      <c r="F158" s="2487"/>
      <c r="G158" s="2487"/>
      <c r="H158" s="2487" t="s">
        <v>305</v>
      </c>
      <c r="I158" s="2487"/>
      <c r="J158" s="2487"/>
      <c r="K158" s="2487"/>
      <c r="L158" s="2487"/>
      <c r="M158" s="2487"/>
      <c r="N158" s="2487"/>
      <c r="O158" s="2487"/>
      <c r="P158" s="2488">
        <v>60000</v>
      </c>
      <c r="Q158" s="2489"/>
      <c r="R158" s="2489"/>
      <c r="S158" s="2489"/>
      <c r="T158" s="2284">
        <f>ROUND(IPMT(($AA$3%+0.35%)/11,1,$D$219-$D$208+1,$P$220-(SUM($P$4:P157)))*-1,2)</f>
        <v>8400</v>
      </c>
      <c r="U158" s="2284"/>
      <c r="V158" s="2284"/>
      <c r="W158" s="2284"/>
      <c r="X158" s="768"/>
      <c r="Y158" s="773"/>
      <c r="Z158" s="772"/>
      <c r="AA158" s="768"/>
    </row>
    <row r="159" spans="1:27">
      <c r="A159" s="2280">
        <v>48</v>
      </c>
      <c r="B159" s="2483"/>
      <c r="C159" s="2483"/>
      <c r="D159" s="2487">
        <v>2025</v>
      </c>
      <c r="E159" s="2487"/>
      <c r="F159" s="2487"/>
      <c r="G159" s="2487"/>
      <c r="H159" s="2502" t="s">
        <v>306</v>
      </c>
      <c r="I159" s="2502"/>
      <c r="J159" s="2502"/>
      <c r="K159" s="2502"/>
      <c r="L159" s="2502"/>
      <c r="M159" s="2502"/>
      <c r="N159" s="2502"/>
      <c r="O159" s="2502"/>
      <c r="P159" s="2488">
        <v>60000</v>
      </c>
      <c r="Q159" s="2489"/>
      <c r="R159" s="2489"/>
      <c r="S159" s="2489"/>
      <c r="T159" s="2279">
        <f>ROUND(IPMT(($AA$3%+0.35%)/11,1,$D$219-$D$208+1,$P$220-(SUM($P$4:P158)))*-1,2)</f>
        <v>8250</v>
      </c>
      <c r="U159" s="2279"/>
      <c r="V159" s="2279"/>
      <c r="W159" s="2279"/>
      <c r="X159" s="768"/>
      <c r="Y159" s="2494">
        <f>SUM(T148:W159)</f>
        <v>108900</v>
      </c>
      <c r="Z159" s="2495"/>
      <c r="AA159" s="768"/>
    </row>
    <row r="160" spans="1:27">
      <c r="A160" s="2496">
        <v>37</v>
      </c>
      <c r="B160" s="2497"/>
      <c r="C160" s="2497"/>
      <c r="D160" s="2498">
        <v>2026</v>
      </c>
      <c r="E160" s="2498"/>
      <c r="F160" s="2498"/>
      <c r="G160" s="2498"/>
      <c r="H160" s="2498" t="s">
        <v>295</v>
      </c>
      <c r="I160" s="2498"/>
      <c r="J160" s="2498"/>
      <c r="K160" s="2498"/>
      <c r="L160" s="2498"/>
      <c r="M160" s="2498"/>
      <c r="N160" s="2498"/>
      <c r="O160" s="2498"/>
      <c r="P160" s="2499">
        <v>60000</v>
      </c>
      <c r="Q160" s="2500"/>
      <c r="R160" s="2500"/>
      <c r="S160" s="2500"/>
      <c r="T160" s="2501">
        <f>ROUND(IPMT(($AA$3%+0.35%)/11,1,$D$219-$D$88+1,$P$220-(SUM($P$4:P159)))*-1,2)</f>
        <v>8100</v>
      </c>
      <c r="U160" s="2501"/>
      <c r="V160" s="2501"/>
      <c r="W160" s="2501"/>
      <c r="X160" s="768"/>
      <c r="Y160" s="773"/>
      <c r="Z160" s="772"/>
      <c r="AA160" s="768"/>
    </row>
    <row r="161" spans="1:27">
      <c r="A161" s="2280">
        <v>38</v>
      </c>
      <c r="B161" s="2483"/>
      <c r="C161" s="2483"/>
      <c r="D161" s="2503">
        <v>2026</v>
      </c>
      <c r="E161" s="2503"/>
      <c r="F161" s="2503"/>
      <c r="G161" s="2503"/>
      <c r="H161" s="2487" t="s">
        <v>296</v>
      </c>
      <c r="I161" s="2487"/>
      <c r="J161" s="2487"/>
      <c r="K161" s="2487"/>
      <c r="L161" s="2487"/>
      <c r="M161" s="2487"/>
      <c r="N161" s="2487"/>
      <c r="O161" s="2487"/>
      <c r="P161" s="2488">
        <v>60000</v>
      </c>
      <c r="Q161" s="2489"/>
      <c r="R161" s="2489"/>
      <c r="S161" s="2489"/>
      <c r="T161" s="2284">
        <f>ROUND(IPMT(($AA$3%+0.35%)/11,1,$D$219-$D$208+1,$P$220-(SUM($P$4:P160)))*-1,2)</f>
        <v>7950</v>
      </c>
      <c r="U161" s="2284"/>
      <c r="V161" s="2284"/>
      <c r="W161" s="2284"/>
      <c r="X161" s="768"/>
      <c r="Y161" s="773"/>
      <c r="Z161" s="772"/>
      <c r="AA161" s="768"/>
    </row>
    <row r="162" spans="1:27">
      <c r="A162" s="2280">
        <v>39</v>
      </c>
      <c r="B162" s="2483"/>
      <c r="C162" s="2483"/>
      <c r="D162" s="2503">
        <v>2026</v>
      </c>
      <c r="E162" s="2503"/>
      <c r="F162" s="2503"/>
      <c r="G162" s="2503"/>
      <c r="H162" s="2487" t="s">
        <v>297</v>
      </c>
      <c r="I162" s="2487"/>
      <c r="J162" s="2487"/>
      <c r="K162" s="2487"/>
      <c r="L162" s="2487"/>
      <c r="M162" s="2487"/>
      <c r="N162" s="2487"/>
      <c r="O162" s="2487"/>
      <c r="P162" s="2488">
        <v>60000</v>
      </c>
      <c r="Q162" s="2489"/>
      <c r="R162" s="2489"/>
      <c r="S162" s="2489"/>
      <c r="T162" s="2284">
        <f>ROUND(IPMT(($AA$3%+0.35%)/11,1,$D$219-$D$208+1,$P$220-(SUM($P$4:P161)))*-1,2)</f>
        <v>7800</v>
      </c>
      <c r="U162" s="2284"/>
      <c r="V162" s="2284"/>
      <c r="W162" s="2284"/>
      <c r="X162" s="768"/>
      <c r="Y162" s="773"/>
      <c r="Z162" s="772"/>
      <c r="AA162" s="768"/>
    </row>
    <row r="163" spans="1:27">
      <c r="A163" s="2280">
        <v>40</v>
      </c>
      <c r="B163" s="2483"/>
      <c r="C163" s="2483"/>
      <c r="D163" s="2503">
        <v>2026</v>
      </c>
      <c r="E163" s="2503"/>
      <c r="F163" s="2503"/>
      <c r="G163" s="2503"/>
      <c r="H163" s="2487" t="s">
        <v>298</v>
      </c>
      <c r="I163" s="2487"/>
      <c r="J163" s="2487"/>
      <c r="K163" s="2487"/>
      <c r="L163" s="2487"/>
      <c r="M163" s="2487"/>
      <c r="N163" s="2487"/>
      <c r="O163" s="2487"/>
      <c r="P163" s="2488">
        <v>60000</v>
      </c>
      <c r="Q163" s="2489"/>
      <c r="R163" s="2489"/>
      <c r="S163" s="2489"/>
      <c r="T163" s="2284">
        <f>ROUND(IPMT(($AA$3%+0.35%)/11,1,$D$219-$D$208+1,$P$220-(SUM($P$4:P162)))*-1,2)</f>
        <v>7650</v>
      </c>
      <c r="U163" s="2284"/>
      <c r="V163" s="2284"/>
      <c r="W163" s="2284"/>
      <c r="X163" s="768"/>
      <c r="Y163" s="773"/>
      <c r="Z163" s="772"/>
      <c r="AA163" s="768"/>
    </row>
    <row r="164" spans="1:27">
      <c r="A164" s="2280">
        <v>41</v>
      </c>
      <c r="B164" s="2483"/>
      <c r="C164" s="2483"/>
      <c r="D164" s="2503">
        <v>2026</v>
      </c>
      <c r="E164" s="2503"/>
      <c r="F164" s="2503"/>
      <c r="G164" s="2503"/>
      <c r="H164" s="2487" t="s">
        <v>299</v>
      </c>
      <c r="I164" s="2487"/>
      <c r="J164" s="2487"/>
      <c r="K164" s="2487"/>
      <c r="L164" s="2487"/>
      <c r="M164" s="2487"/>
      <c r="N164" s="2487"/>
      <c r="O164" s="2487"/>
      <c r="P164" s="2488">
        <v>60000</v>
      </c>
      <c r="Q164" s="2489"/>
      <c r="R164" s="2489"/>
      <c r="S164" s="2489"/>
      <c r="T164" s="2284">
        <f>ROUND(IPMT(($AA$3%+0.35%)/11,1,$D$219-$D$208+1,$P$220-(SUM($P$4:P163)))*-1,2)</f>
        <v>7500</v>
      </c>
      <c r="U164" s="2284"/>
      <c r="V164" s="2284"/>
      <c r="W164" s="2284"/>
      <c r="X164" s="768"/>
      <c r="Y164" s="773"/>
      <c r="Z164" s="772"/>
      <c r="AA164" s="768"/>
    </row>
    <row r="165" spans="1:27">
      <c r="A165" s="2280">
        <v>42</v>
      </c>
      <c r="B165" s="2483"/>
      <c r="C165" s="2483"/>
      <c r="D165" s="2503">
        <v>2026</v>
      </c>
      <c r="E165" s="2503"/>
      <c r="F165" s="2503"/>
      <c r="G165" s="2503"/>
      <c r="H165" s="2487" t="s">
        <v>300</v>
      </c>
      <c r="I165" s="2487"/>
      <c r="J165" s="2487"/>
      <c r="K165" s="2487"/>
      <c r="L165" s="2487"/>
      <c r="M165" s="2487"/>
      <c r="N165" s="2487"/>
      <c r="O165" s="2487"/>
      <c r="P165" s="2488">
        <v>60000</v>
      </c>
      <c r="Q165" s="2489"/>
      <c r="R165" s="2489"/>
      <c r="S165" s="2489"/>
      <c r="T165" s="2284">
        <f>ROUND(IPMT(($AA$3%+0.35%)/11,1,$D$219-$D$208+1,$P$220-(SUM($P$4:P164)))*-1,2)</f>
        <v>7350</v>
      </c>
      <c r="U165" s="2284"/>
      <c r="V165" s="2284"/>
      <c r="W165" s="2284"/>
      <c r="X165" s="768"/>
      <c r="Y165" s="773"/>
      <c r="Z165" s="772"/>
      <c r="AA165" s="768"/>
    </row>
    <row r="166" spans="1:27">
      <c r="A166" s="2280">
        <v>43</v>
      </c>
      <c r="B166" s="2483"/>
      <c r="C166" s="2483"/>
      <c r="D166" s="2503">
        <v>2026</v>
      </c>
      <c r="E166" s="2503"/>
      <c r="F166" s="2503"/>
      <c r="G166" s="2503"/>
      <c r="H166" s="2487" t="s">
        <v>301</v>
      </c>
      <c r="I166" s="2487"/>
      <c r="J166" s="2487"/>
      <c r="K166" s="2487"/>
      <c r="L166" s="2487"/>
      <c r="M166" s="2487"/>
      <c r="N166" s="2487"/>
      <c r="O166" s="2487"/>
      <c r="P166" s="2488">
        <v>60000</v>
      </c>
      <c r="Q166" s="2489"/>
      <c r="R166" s="2489"/>
      <c r="S166" s="2489"/>
      <c r="T166" s="2284">
        <f>ROUND(IPMT(($AA$3%+0.35%)/11,1,$D$219-$D$208+1,$P$220-(SUM($P$4:P165)))*-1,2)</f>
        <v>7200</v>
      </c>
      <c r="U166" s="2284"/>
      <c r="V166" s="2284"/>
      <c r="W166" s="2284"/>
      <c r="X166" s="768"/>
      <c r="Y166" s="773"/>
      <c r="Z166" s="772"/>
      <c r="AA166" s="768"/>
    </row>
    <row r="167" spans="1:27">
      <c r="A167" s="2280">
        <v>44</v>
      </c>
      <c r="B167" s="2483"/>
      <c r="C167" s="2483"/>
      <c r="D167" s="2503">
        <v>2026</v>
      </c>
      <c r="E167" s="2503"/>
      <c r="F167" s="2503"/>
      <c r="G167" s="2503"/>
      <c r="H167" s="2487" t="s">
        <v>302</v>
      </c>
      <c r="I167" s="2487"/>
      <c r="J167" s="2487"/>
      <c r="K167" s="2487"/>
      <c r="L167" s="2487"/>
      <c r="M167" s="2487"/>
      <c r="N167" s="2487"/>
      <c r="O167" s="2487"/>
      <c r="P167" s="2488">
        <v>60000</v>
      </c>
      <c r="Q167" s="2489"/>
      <c r="R167" s="2489"/>
      <c r="S167" s="2489"/>
      <c r="T167" s="2284">
        <f>ROUND(IPMT(($AA$3%+0.35%)/11,1,$D$219-$D$208+1,$P$220-(SUM($P$4:P166)))*-1,2)</f>
        <v>7050</v>
      </c>
      <c r="U167" s="2284"/>
      <c r="V167" s="2284"/>
      <c r="W167" s="2284"/>
      <c r="X167" s="768"/>
      <c r="Y167" s="773"/>
      <c r="Z167" s="772"/>
      <c r="AA167" s="768"/>
    </row>
    <row r="168" spans="1:27">
      <c r="A168" s="2280">
        <v>45</v>
      </c>
      <c r="B168" s="2483"/>
      <c r="C168" s="2483"/>
      <c r="D168" s="2503">
        <v>2026</v>
      </c>
      <c r="E168" s="2503"/>
      <c r="F168" s="2503"/>
      <c r="G168" s="2503"/>
      <c r="H168" s="2487" t="s">
        <v>303</v>
      </c>
      <c r="I168" s="2487"/>
      <c r="J168" s="2487"/>
      <c r="K168" s="2487"/>
      <c r="L168" s="2487"/>
      <c r="M168" s="2487"/>
      <c r="N168" s="2487"/>
      <c r="O168" s="2487"/>
      <c r="P168" s="2488">
        <v>60000</v>
      </c>
      <c r="Q168" s="2489"/>
      <c r="R168" s="2489"/>
      <c r="S168" s="2489"/>
      <c r="T168" s="2284">
        <f>ROUND(IPMT(($AA$3%+0.35%)/11,1,$D$219-$D$208+1,$P$220-(SUM($P$4:P167)))*-1,2)</f>
        <v>6900</v>
      </c>
      <c r="U168" s="2284"/>
      <c r="V168" s="2284"/>
      <c r="W168" s="2284"/>
      <c r="X168" s="768"/>
      <c r="Y168" s="773"/>
      <c r="Z168" s="772"/>
      <c r="AA168" s="768"/>
    </row>
    <row r="169" spans="1:27">
      <c r="A169" s="2280">
        <v>46</v>
      </c>
      <c r="B169" s="2483"/>
      <c r="C169" s="2483"/>
      <c r="D169" s="2503">
        <v>2026</v>
      </c>
      <c r="E169" s="2503"/>
      <c r="F169" s="2503"/>
      <c r="G169" s="2503"/>
      <c r="H169" s="2487" t="s">
        <v>304</v>
      </c>
      <c r="I169" s="2487"/>
      <c r="J169" s="2487"/>
      <c r="K169" s="2487"/>
      <c r="L169" s="2487"/>
      <c r="M169" s="2487"/>
      <c r="N169" s="2487"/>
      <c r="O169" s="2487"/>
      <c r="P169" s="2488">
        <v>60000</v>
      </c>
      <c r="Q169" s="2489"/>
      <c r="R169" s="2489"/>
      <c r="S169" s="2489"/>
      <c r="T169" s="2284">
        <f>ROUND(IPMT(($AA$3%+0.35%)/11,1,$D$219-$D$208+1,$P$220-(SUM($P$4:P168)))*-1,2)</f>
        <v>6750</v>
      </c>
      <c r="U169" s="2284"/>
      <c r="V169" s="2284"/>
      <c r="W169" s="2284"/>
      <c r="X169" s="768"/>
      <c r="Y169" s="773"/>
      <c r="Z169" s="772"/>
      <c r="AA169" s="768"/>
    </row>
    <row r="170" spans="1:27">
      <c r="A170" s="2280">
        <v>47</v>
      </c>
      <c r="B170" s="2483"/>
      <c r="C170" s="2483"/>
      <c r="D170" s="2503">
        <v>2026</v>
      </c>
      <c r="E170" s="2503"/>
      <c r="F170" s="2503"/>
      <c r="G170" s="2503"/>
      <c r="H170" s="2487" t="s">
        <v>305</v>
      </c>
      <c r="I170" s="2487"/>
      <c r="J170" s="2487"/>
      <c r="K170" s="2487"/>
      <c r="L170" s="2487"/>
      <c r="M170" s="2487"/>
      <c r="N170" s="2487"/>
      <c r="O170" s="2487"/>
      <c r="P170" s="2488">
        <v>60000</v>
      </c>
      <c r="Q170" s="2489"/>
      <c r="R170" s="2489"/>
      <c r="S170" s="2489"/>
      <c r="T170" s="2284">
        <f>ROUND(IPMT(($AA$3%+0.35%)/11,1,$D$219-$D$208+1,$P$220-(SUM($P$4:P169)))*-1,2)</f>
        <v>6600</v>
      </c>
      <c r="U170" s="2284"/>
      <c r="V170" s="2284"/>
      <c r="W170" s="2284"/>
      <c r="X170" s="768"/>
      <c r="Y170" s="773"/>
      <c r="Z170" s="772"/>
      <c r="AA170" s="768"/>
    </row>
    <row r="171" spans="1:27">
      <c r="A171" s="2280">
        <v>48</v>
      </c>
      <c r="B171" s="2483"/>
      <c r="C171" s="2483"/>
      <c r="D171" s="2503">
        <v>2026</v>
      </c>
      <c r="E171" s="2503"/>
      <c r="F171" s="2503"/>
      <c r="G171" s="2503"/>
      <c r="H171" s="2502" t="s">
        <v>306</v>
      </c>
      <c r="I171" s="2502"/>
      <c r="J171" s="2502"/>
      <c r="K171" s="2502"/>
      <c r="L171" s="2502"/>
      <c r="M171" s="2502"/>
      <c r="N171" s="2502"/>
      <c r="O171" s="2502"/>
      <c r="P171" s="2488">
        <v>60000</v>
      </c>
      <c r="Q171" s="2489"/>
      <c r="R171" s="2489"/>
      <c r="S171" s="2489"/>
      <c r="T171" s="2279">
        <f>ROUND(IPMT(($AA$3%+0.35%)/11,1,$D$219-$D$208+1,$P$220-(SUM($P$4:P170)))*-1,2)</f>
        <v>6450</v>
      </c>
      <c r="U171" s="2279"/>
      <c r="V171" s="2279"/>
      <c r="W171" s="2279"/>
      <c r="X171" s="768"/>
      <c r="Y171" s="2494">
        <f>SUM(T160:W171)</f>
        <v>87300</v>
      </c>
      <c r="Z171" s="2495"/>
      <c r="AA171" s="768"/>
    </row>
    <row r="172" spans="1:27">
      <c r="A172" s="2496">
        <v>38</v>
      </c>
      <c r="B172" s="2497"/>
      <c r="C172" s="2497"/>
      <c r="D172" s="2498">
        <v>2027</v>
      </c>
      <c r="E172" s="2498"/>
      <c r="F172" s="2498"/>
      <c r="G172" s="2498"/>
      <c r="H172" s="2498" t="s">
        <v>295</v>
      </c>
      <c r="I172" s="2498"/>
      <c r="J172" s="2498"/>
      <c r="K172" s="2498"/>
      <c r="L172" s="2498"/>
      <c r="M172" s="2498"/>
      <c r="N172" s="2498"/>
      <c r="O172" s="2498"/>
      <c r="P172" s="2499">
        <v>60000</v>
      </c>
      <c r="Q172" s="2500"/>
      <c r="R172" s="2500"/>
      <c r="S172" s="2500"/>
      <c r="T172" s="2501">
        <f>ROUND(IPMT(($AA$3%+0.35%)/11,1,$D$219-$D$208+1,$P$220-(SUM($P$4:P170)))*-1,2)</f>
        <v>6450</v>
      </c>
      <c r="U172" s="2501"/>
      <c r="V172" s="2501"/>
      <c r="W172" s="2501"/>
      <c r="X172" s="768"/>
      <c r="Y172" s="773"/>
      <c r="Z172" s="772"/>
      <c r="AA172" s="768"/>
    </row>
    <row r="173" spans="1:27">
      <c r="A173" s="2280">
        <v>38</v>
      </c>
      <c r="B173" s="2483"/>
      <c r="C173" s="2483"/>
      <c r="D173" s="2487">
        <v>2027</v>
      </c>
      <c r="E173" s="2487"/>
      <c r="F173" s="2487"/>
      <c r="G173" s="2487"/>
      <c r="H173" s="2487" t="s">
        <v>296</v>
      </c>
      <c r="I173" s="2487"/>
      <c r="J173" s="2487"/>
      <c r="K173" s="2487"/>
      <c r="L173" s="2487"/>
      <c r="M173" s="2487"/>
      <c r="N173" s="2487"/>
      <c r="O173" s="2487"/>
      <c r="P173" s="2488">
        <v>60000</v>
      </c>
      <c r="Q173" s="2489"/>
      <c r="R173" s="2489"/>
      <c r="S173" s="2489"/>
      <c r="T173" s="2284">
        <f>ROUND(IPMT(($AA$3%+0.35%)/11,1,$D$219-$D$208+1,$P$220-(SUM($P$4:P171)))*-1,2)</f>
        <v>6300</v>
      </c>
      <c r="U173" s="2284"/>
      <c r="V173" s="2284"/>
      <c r="W173" s="2284"/>
      <c r="X173" s="768"/>
      <c r="Y173" s="773"/>
      <c r="Z173" s="772"/>
      <c r="AA173" s="768"/>
    </row>
    <row r="174" spans="1:27">
      <c r="A174" s="2280">
        <v>39</v>
      </c>
      <c r="B174" s="2483"/>
      <c r="C174" s="2483"/>
      <c r="D174" s="2487">
        <v>2027</v>
      </c>
      <c r="E174" s="2487"/>
      <c r="F174" s="2487"/>
      <c r="G174" s="2487"/>
      <c r="H174" s="2487" t="s">
        <v>297</v>
      </c>
      <c r="I174" s="2487"/>
      <c r="J174" s="2487"/>
      <c r="K174" s="2487"/>
      <c r="L174" s="2487"/>
      <c r="M174" s="2487"/>
      <c r="N174" s="2487"/>
      <c r="O174" s="2487"/>
      <c r="P174" s="2488">
        <v>60000</v>
      </c>
      <c r="Q174" s="2489"/>
      <c r="R174" s="2489"/>
      <c r="S174" s="2489"/>
      <c r="T174" s="2284">
        <f>ROUND(IPMT(($AA$3%+0.35%)/11,1,$D$219-$D$208+1,$P$220-(SUM($P$4:P173)))*-1,2)</f>
        <v>6000</v>
      </c>
      <c r="U174" s="2284"/>
      <c r="V174" s="2284"/>
      <c r="W174" s="2284"/>
      <c r="X174" s="768"/>
      <c r="Y174" s="773"/>
      <c r="Z174" s="772"/>
      <c r="AA174" s="768"/>
    </row>
    <row r="175" spans="1:27">
      <c r="A175" s="2280">
        <v>40</v>
      </c>
      <c r="B175" s="2483"/>
      <c r="C175" s="2483"/>
      <c r="D175" s="2487">
        <v>2027</v>
      </c>
      <c r="E175" s="2487"/>
      <c r="F175" s="2487"/>
      <c r="G175" s="2487"/>
      <c r="H175" s="2487" t="s">
        <v>298</v>
      </c>
      <c r="I175" s="2487"/>
      <c r="J175" s="2487"/>
      <c r="K175" s="2487"/>
      <c r="L175" s="2487"/>
      <c r="M175" s="2487"/>
      <c r="N175" s="2487"/>
      <c r="O175" s="2487"/>
      <c r="P175" s="2488">
        <v>60000</v>
      </c>
      <c r="Q175" s="2489"/>
      <c r="R175" s="2489"/>
      <c r="S175" s="2489"/>
      <c r="T175" s="2284">
        <f>ROUND(IPMT(($AA$3%+0.35%)/11,1,$D$219-$D$208+1,$P$220-(SUM($P$4:P174)))*-1,2)</f>
        <v>5850</v>
      </c>
      <c r="U175" s="2284"/>
      <c r="V175" s="2284"/>
      <c r="W175" s="2284"/>
      <c r="X175" s="768"/>
      <c r="Y175" s="773"/>
      <c r="Z175" s="772"/>
      <c r="AA175" s="768"/>
    </row>
    <row r="176" spans="1:27">
      <c r="A176" s="2280">
        <v>41</v>
      </c>
      <c r="B176" s="2483"/>
      <c r="C176" s="2483"/>
      <c r="D176" s="2487">
        <v>2027</v>
      </c>
      <c r="E176" s="2487"/>
      <c r="F176" s="2487"/>
      <c r="G176" s="2487"/>
      <c r="H176" s="2487" t="s">
        <v>299</v>
      </c>
      <c r="I176" s="2487"/>
      <c r="J176" s="2487"/>
      <c r="K176" s="2487"/>
      <c r="L176" s="2487"/>
      <c r="M176" s="2487"/>
      <c r="N176" s="2487"/>
      <c r="O176" s="2487"/>
      <c r="P176" s="2488">
        <v>60000</v>
      </c>
      <c r="Q176" s="2489"/>
      <c r="R176" s="2489"/>
      <c r="S176" s="2489"/>
      <c r="T176" s="2284">
        <f>ROUND(IPMT(($AA$3%+0.35%)/11,1,$D$219-$D$208+1,$P$220-(SUM($P$4:P175)))*-1,2)</f>
        <v>5700</v>
      </c>
      <c r="U176" s="2284"/>
      <c r="V176" s="2284"/>
      <c r="W176" s="2284"/>
      <c r="X176" s="768"/>
      <c r="Y176" s="773"/>
      <c r="Z176" s="772"/>
      <c r="AA176" s="768"/>
    </row>
    <row r="177" spans="1:27">
      <c r="A177" s="2280">
        <v>42</v>
      </c>
      <c r="B177" s="2483"/>
      <c r="C177" s="2483"/>
      <c r="D177" s="2487">
        <v>2027</v>
      </c>
      <c r="E177" s="2487"/>
      <c r="F177" s="2487"/>
      <c r="G177" s="2487"/>
      <c r="H177" s="2487" t="s">
        <v>300</v>
      </c>
      <c r="I177" s="2487"/>
      <c r="J177" s="2487"/>
      <c r="K177" s="2487"/>
      <c r="L177" s="2487"/>
      <c r="M177" s="2487"/>
      <c r="N177" s="2487"/>
      <c r="O177" s="2487"/>
      <c r="P177" s="2488">
        <v>60000</v>
      </c>
      <c r="Q177" s="2489"/>
      <c r="R177" s="2489"/>
      <c r="S177" s="2489"/>
      <c r="T177" s="2284">
        <f>ROUND(IPMT(($AA$3%+0.35%)/11,1,$D$219-$D$208+1,$P$220-(SUM($P$4:P176)))*-1,2)</f>
        <v>5550</v>
      </c>
      <c r="U177" s="2284"/>
      <c r="V177" s="2284"/>
      <c r="W177" s="2284"/>
      <c r="X177" s="768"/>
      <c r="Y177" s="773"/>
      <c r="Z177" s="772"/>
      <c r="AA177" s="768"/>
    </row>
    <row r="178" spans="1:27">
      <c r="A178" s="2280">
        <v>43</v>
      </c>
      <c r="B178" s="2483"/>
      <c r="C178" s="2483"/>
      <c r="D178" s="2487">
        <v>2027</v>
      </c>
      <c r="E178" s="2487"/>
      <c r="F178" s="2487"/>
      <c r="G178" s="2487"/>
      <c r="H178" s="2487" t="s">
        <v>301</v>
      </c>
      <c r="I178" s="2487"/>
      <c r="J178" s="2487"/>
      <c r="K178" s="2487"/>
      <c r="L178" s="2487"/>
      <c r="M178" s="2487"/>
      <c r="N178" s="2487"/>
      <c r="O178" s="2487"/>
      <c r="P178" s="2488">
        <v>60000</v>
      </c>
      <c r="Q178" s="2489"/>
      <c r="R178" s="2489"/>
      <c r="S178" s="2489"/>
      <c r="T178" s="2284">
        <f>ROUND(IPMT(($AA$3%+0.35%)/11,1,$D$219-$D$208+1,$P$220-(SUM($P$4:P177)))*-1,2)</f>
        <v>5400</v>
      </c>
      <c r="U178" s="2284"/>
      <c r="V178" s="2284"/>
      <c r="W178" s="2284"/>
      <c r="X178" s="768"/>
      <c r="Y178" s="773"/>
      <c r="Z178" s="772"/>
      <c r="AA178" s="768"/>
    </row>
    <row r="179" spans="1:27">
      <c r="A179" s="2280">
        <v>44</v>
      </c>
      <c r="B179" s="2483"/>
      <c r="C179" s="2483"/>
      <c r="D179" s="2487">
        <v>2027</v>
      </c>
      <c r="E179" s="2487"/>
      <c r="F179" s="2487"/>
      <c r="G179" s="2487"/>
      <c r="H179" s="2487" t="s">
        <v>302</v>
      </c>
      <c r="I179" s="2487"/>
      <c r="J179" s="2487"/>
      <c r="K179" s="2487"/>
      <c r="L179" s="2487"/>
      <c r="M179" s="2487"/>
      <c r="N179" s="2487"/>
      <c r="O179" s="2487"/>
      <c r="P179" s="2488">
        <v>60000</v>
      </c>
      <c r="Q179" s="2489"/>
      <c r="R179" s="2489"/>
      <c r="S179" s="2489"/>
      <c r="T179" s="2284">
        <f>ROUND(IPMT(($AA$3%+0.35%)/11,1,$D$219-$D$208+1,$P$220-(SUM($P$4:P178)))*-1,2)</f>
        <v>5250</v>
      </c>
      <c r="U179" s="2284"/>
      <c r="V179" s="2284"/>
      <c r="W179" s="2284"/>
      <c r="X179" s="768"/>
      <c r="Y179" s="773"/>
      <c r="Z179" s="772"/>
      <c r="AA179" s="768"/>
    </row>
    <row r="180" spans="1:27">
      <c r="A180" s="2280">
        <v>45</v>
      </c>
      <c r="B180" s="2483"/>
      <c r="C180" s="2483"/>
      <c r="D180" s="2487">
        <v>2027</v>
      </c>
      <c r="E180" s="2487"/>
      <c r="F180" s="2487"/>
      <c r="G180" s="2487"/>
      <c r="H180" s="2487" t="s">
        <v>303</v>
      </c>
      <c r="I180" s="2487"/>
      <c r="J180" s="2487"/>
      <c r="K180" s="2487"/>
      <c r="L180" s="2487"/>
      <c r="M180" s="2487"/>
      <c r="N180" s="2487"/>
      <c r="O180" s="2487"/>
      <c r="P180" s="2488">
        <v>60000</v>
      </c>
      <c r="Q180" s="2489"/>
      <c r="R180" s="2489"/>
      <c r="S180" s="2489"/>
      <c r="T180" s="2284">
        <f>ROUND(IPMT(($AA$3%+0.35%)/11,1,$D$219-$D$208+1,$P$220-(SUM($P$4:P179)))*-1,2)</f>
        <v>5100</v>
      </c>
      <c r="U180" s="2284"/>
      <c r="V180" s="2284"/>
      <c r="W180" s="2284"/>
      <c r="X180" s="768"/>
      <c r="Y180" s="773"/>
      <c r="Z180" s="772"/>
      <c r="AA180" s="768"/>
    </row>
    <row r="181" spans="1:27">
      <c r="A181" s="2280">
        <v>46</v>
      </c>
      <c r="B181" s="2483"/>
      <c r="C181" s="2483"/>
      <c r="D181" s="2487">
        <v>2027</v>
      </c>
      <c r="E181" s="2487"/>
      <c r="F181" s="2487"/>
      <c r="G181" s="2487"/>
      <c r="H181" s="2487" t="s">
        <v>304</v>
      </c>
      <c r="I181" s="2487"/>
      <c r="J181" s="2487"/>
      <c r="K181" s="2487"/>
      <c r="L181" s="2487"/>
      <c r="M181" s="2487"/>
      <c r="N181" s="2487"/>
      <c r="O181" s="2487"/>
      <c r="P181" s="2488">
        <v>60000</v>
      </c>
      <c r="Q181" s="2489"/>
      <c r="R181" s="2489"/>
      <c r="S181" s="2489"/>
      <c r="T181" s="2284">
        <f>ROUND(IPMT(($AA$3%+0.35%)/11,1,$D$219-$D$208+1,$P$220-(SUM($P$4:P180)))*-1,2)</f>
        <v>4950</v>
      </c>
      <c r="U181" s="2284"/>
      <c r="V181" s="2284"/>
      <c r="W181" s="2284"/>
      <c r="X181" s="768"/>
      <c r="Y181" s="773"/>
      <c r="Z181" s="772"/>
      <c r="AA181" s="768"/>
    </row>
    <row r="182" spans="1:27">
      <c r="A182" s="2280">
        <v>47</v>
      </c>
      <c r="B182" s="2483"/>
      <c r="C182" s="2483"/>
      <c r="D182" s="2487">
        <v>2027</v>
      </c>
      <c r="E182" s="2487"/>
      <c r="F182" s="2487"/>
      <c r="G182" s="2487"/>
      <c r="H182" s="2487" t="s">
        <v>305</v>
      </c>
      <c r="I182" s="2487"/>
      <c r="J182" s="2487"/>
      <c r="K182" s="2487"/>
      <c r="L182" s="2487"/>
      <c r="M182" s="2487"/>
      <c r="N182" s="2487"/>
      <c r="O182" s="2487"/>
      <c r="P182" s="2488">
        <v>60000</v>
      </c>
      <c r="Q182" s="2489"/>
      <c r="R182" s="2489"/>
      <c r="S182" s="2489"/>
      <c r="T182" s="2284">
        <f>ROUND(IPMT(($AA$3%+0.35%)/11,1,$D$219-$D$208+1,$P$220-(SUM($P$4:P181)))*-1,2)</f>
        <v>4800</v>
      </c>
      <c r="U182" s="2284"/>
      <c r="V182" s="2284"/>
      <c r="W182" s="2284"/>
      <c r="X182" s="768"/>
      <c r="Y182" s="773"/>
      <c r="Z182" s="772"/>
      <c r="AA182" s="768"/>
    </row>
    <row r="183" spans="1:27">
      <c r="A183" s="2280">
        <v>48</v>
      </c>
      <c r="B183" s="2483"/>
      <c r="C183" s="2483"/>
      <c r="D183" s="2487">
        <v>2027</v>
      </c>
      <c r="E183" s="2487"/>
      <c r="F183" s="2487"/>
      <c r="G183" s="2487"/>
      <c r="H183" s="2502" t="s">
        <v>306</v>
      </c>
      <c r="I183" s="2502"/>
      <c r="J183" s="2502"/>
      <c r="K183" s="2502"/>
      <c r="L183" s="2502"/>
      <c r="M183" s="2502"/>
      <c r="N183" s="2502"/>
      <c r="O183" s="2502"/>
      <c r="P183" s="2488">
        <v>60000</v>
      </c>
      <c r="Q183" s="2489"/>
      <c r="R183" s="2489"/>
      <c r="S183" s="2489"/>
      <c r="T183" s="2279">
        <f>ROUND(IPMT(($AA$3%+0.35%)/11,1,$D$219-$D$208+1,$P$220-(SUM($P$4:P182)))*-1,2)</f>
        <v>4650</v>
      </c>
      <c r="U183" s="2279"/>
      <c r="V183" s="2279"/>
      <c r="W183" s="2279"/>
      <c r="X183" s="768"/>
      <c r="Y183" s="2494">
        <f>SUM(T172:W183)</f>
        <v>66000</v>
      </c>
      <c r="Z183" s="2495"/>
      <c r="AA183" s="768"/>
    </row>
    <row r="184" spans="1:27">
      <c r="A184" s="2496">
        <v>37</v>
      </c>
      <c r="B184" s="2497"/>
      <c r="C184" s="2497"/>
      <c r="D184" s="2498">
        <v>2028</v>
      </c>
      <c r="E184" s="2498"/>
      <c r="F184" s="2498"/>
      <c r="G184" s="2498"/>
      <c r="H184" s="2498" t="s">
        <v>295</v>
      </c>
      <c r="I184" s="2498"/>
      <c r="J184" s="2498"/>
      <c r="K184" s="2498"/>
      <c r="L184" s="2498"/>
      <c r="M184" s="2498"/>
      <c r="N184" s="2498"/>
      <c r="O184" s="2498"/>
      <c r="P184" s="2499">
        <v>60000</v>
      </c>
      <c r="Q184" s="2500"/>
      <c r="R184" s="2500"/>
      <c r="S184" s="2500"/>
      <c r="T184" s="2501">
        <f>ROUND(IPMT(($AA$3%+0.35%)/11,1,$D$219-$D$88+1,$P$220-(SUM($P$4:P183)))*-1,2)</f>
        <v>4500</v>
      </c>
      <c r="U184" s="2501"/>
      <c r="V184" s="2501"/>
      <c r="W184" s="2501"/>
      <c r="X184" s="768"/>
      <c r="Y184" s="773"/>
      <c r="Z184" s="772"/>
      <c r="AA184" s="768"/>
    </row>
    <row r="185" spans="1:27">
      <c r="A185" s="2280">
        <v>38</v>
      </c>
      <c r="B185" s="2483"/>
      <c r="C185" s="2483"/>
      <c r="D185" s="2487">
        <v>2028</v>
      </c>
      <c r="E185" s="2487"/>
      <c r="F185" s="2487"/>
      <c r="G185" s="2487"/>
      <c r="H185" s="2487" t="s">
        <v>296</v>
      </c>
      <c r="I185" s="2487"/>
      <c r="J185" s="2487"/>
      <c r="K185" s="2487"/>
      <c r="L185" s="2487"/>
      <c r="M185" s="2487"/>
      <c r="N185" s="2487"/>
      <c r="O185" s="2487"/>
      <c r="P185" s="2488">
        <v>60000</v>
      </c>
      <c r="Q185" s="2489"/>
      <c r="R185" s="2489"/>
      <c r="S185" s="2489"/>
      <c r="T185" s="2284">
        <f>ROUND(IPMT(($AA$3%+0.35%)/11,1,$D$219-$D$208+1,$P$220-(SUM($P$4:P184)))*-1,2)</f>
        <v>4350</v>
      </c>
      <c r="U185" s="2284"/>
      <c r="V185" s="2284"/>
      <c r="W185" s="2284"/>
      <c r="X185" s="768"/>
      <c r="Y185" s="773"/>
      <c r="Z185" s="772"/>
      <c r="AA185" s="768"/>
    </row>
    <row r="186" spans="1:27">
      <c r="A186" s="2280">
        <v>39</v>
      </c>
      <c r="B186" s="2483"/>
      <c r="C186" s="2483"/>
      <c r="D186" s="2487">
        <v>2028</v>
      </c>
      <c r="E186" s="2487"/>
      <c r="F186" s="2487"/>
      <c r="G186" s="2487"/>
      <c r="H186" s="2487" t="s">
        <v>297</v>
      </c>
      <c r="I186" s="2487"/>
      <c r="J186" s="2487"/>
      <c r="K186" s="2487"/>
      <c r="L186" s="2487"/>
      <c r="M186" s="2487"/>
      <c r="N186" s="2487"/>
      <c r="O186" s="2487"/>
      <c r="P186" s="2488">
        <v>60000</v>
      </c>
      <c r="Q186" s="2489"/>
      <c r="R186" s="2489"/>
      <c r="S186" s="2489"/>
      <c r="T186" s="2284">
        <f>ROUND(IPMT(($AA$3%+0.35%)/11,1,$D$219-$D$208+1,$P$220-(SUM($P$4:P185)))*-1,2)</f>
        <v>4200</v>
      </c>
      <c r="U186" s="2284"/>
      <c r="V186" s="2284"/>
      <c r="W186" s="2284"/>
      <c r="X186" s="768"/>
      <c r="Y186" s="773"/>
      <c r="Z186" s="772"/>
      <c r="AA186" s="768"/>
    </row>
    <row r="187" spans="1:27">
      <c r="A187" s="2280">
        <v>40</v>
      </c>
      <c r="B187" s="2483"/>
      <c r="C187" s="2483"/>
      <c r="D187" s="2487">
        <v>2028</v>
      </c>
      <c r="E187" s="2487"/>
      <c r="F187" s="2487"/>
      <c r="G187" s="2487"/>
      <c r="H187" s="2487" t="s">
        <v>298</v>
      </c>
      <c r="I187" s="2487"/>
      <c r="J187" s="2487"/>
      <c r="K187" s="2487"/>
      <c r="L187" s="2487"/>
      <c r="M187" s="2487"/>
      <c r="N187" s="2487"/>
      <c r="O187" s="2487"/>
      <c r="P187" s="2488">
        <v>60000</v>
      </c>
      <c r="Q187" s="2489"/>
      <c r="R187" s="2489"/>
      <c r="S187" s="2489"/>
      <c r="T187" s="2284">
        <f>ROUND(IPMT(($AA$3%+0.35%)/11,1,$D$219-$D$208+1,$P$220-(SUM($P$4:P186)))*-1,2)</f>
        <v>4050</v>
      </c>
      <c r="U187" s="2284"/>
      <c r="V187" s="2284"/>
      <c r="W187" s="2284"/>
      <c r="X187" s="768"/>
      <c r="Y187" s="773"/>
      <c r="Z187" s="772"/>
      <c r="AA187" s="768"/>
    </row>
    <row r="188" spans="1:27">
      <c r="A188" s="2280">
        <v>41</v>
      </c>
      <c r="B188" s="2483"/>
      <c r="C188" s="2483"/>
      <c r="D188" s="2487">
        <v>2028</v>
      </c>
      <c r="E188" s="2487"/>
      <c r="F188" s="2487"/>
      <c r="G188" s="2487"/>
      <c r="H188" s="2487" t="s">
        <v>299</v>
      </c>
      <c r="I188" s="2487"/>
      <c r="J188" s="2487"/>
      <c r="K188" s="2487"/>
      <c r="L188" s="2487"/>
      <c r="M188" s="2487"/>
      <c r="N188" s="2487"/>
      <c r="O188" s="2487"/>
      <c r="P188" s="2488">
        <v>60000</v>
      </c>
      <c r="Q188" s="2489"/>
      <c r="R188" s="2489"/>
      <c r="S188" s="2489"/>
      <c r="T188" s="2284">
        <f>ROUND(IPMT(($AA$3%+0.35%)/11,1,$D$219-$D$208+1,$P$220-(SUM($P$4:P187)))*-1,2)</f>
        <v>3900</v>
      </c>
      <c r="U188" s="2284"/>
      <c r="V188" s="2284"/>
      <c r="W188" s="2284"/>
      <c r="X188" s="768"/>
      <c r="Y188" s="773"/>
      <c r="Z188" s="772"/>
      <c r="AA188" s="768"/>
    </row>
    <row r="189" spans="1:27">
      <c r="A189" s="2280">
        <v>42</v>
      </c>
      <c r="B189" s="2483"/>
      <c r="C189" s="2483"/>
      <c r="D189" s="2487">
        <v>2028</v>
      </c>
      <c r="E189" s="2487"/>
      <c r="F189" s="2487"/>
      <c r="G189" s="2487"/>
      <c r="H189" s="2487" t="s">
        <v>300</v>
      </c>
      <c r="I189" s="2487"/>
      <c r="J189" s="2487"/>
      <c r="K189" s="2487"/>
      <c r="L189" s="2487"/>
      <c r="M189" s="2487"/>
      <c r="N189" s="2487"/>
      <c r="O189" s="2487"/>
      <c r="P189" s="2488">
        <v>60000</v>
      </c>
      <c r="Q189" s="2489"/>
      <c r="R189" s="2489"/>
      <c r="S189" s="2489"/>
      <c r="T189" s="2284">
        <f>ROUND(IPMT(($AA$3%+0.35%)/11,1,$D$219-$D$208+1,$P$220-(SUM($P$4:P188)))*-1,2)</f>
        <v>3750</v>
      </c>
      <c r="U189" s="2284"/>
      <c r="V189" s="2284"/>
      <c r="W189" s="2284"/>
      <c r="X189" s="768"/>
      <c r="Y189" s="773"/>
      <c r="Z189" s="772"/>
      <c r="AA189" s="768"/>
    </row>
    <row r="190" spans="1:27">
      <c r="A190" s="2280">
        <v>43</v>
      </c>
      <c r="B190" s="2483"/>
      <c r="C190" s="2483"/>
      <c r="D190" s="2487">
        <v>2028</v>
      </c>
      <c r="E190" s="2487"/>
      <c r="F190" s="2487"/>
      <c r="G190" s="2487"/>
      <c r="H190" s="2487" t="s">
        <v>301</v>
      </c>
      <c r="I190" s="2487"/>
      <c r="J190" s="2487"/>
      <c r="K190" s="2487"/>
      <c r="L190" s="2487"/>
      <c r="M190" s="2487"/>
      <c r="N190" s="2487"/>
      <c r="O190" s="2487"/>
      <c r="P190" s="2488">
        <v>60000</v>
      </c>
      <c r="Q190" s="2489"/>
      <c r="R190" s="2489"/>
      <c r="S190" s="2489"/>
      <c r="T190" s="2284">
        <f>ROUND(IPMT(($AA$3%+0.35%)/11,1,$D$219-$D$208+1,$P$220-(SUM($P$4:P189)))*-1,2)</f>
        <v>3600</v>
      </c>
      <c r="U190" s="2284"/>
      <c r="V190" s="2284"/>
      <c r="W190" s="2284"/>
      <c r="X190" s="768"/>
      <c r="Y190" s="773"/>
      <c r="Z190" s="772"/>
      <c r="AA190" s="768"/>
    </row>
    <row r="191" spans="1:27">
      <c r="A191" s="2280">
        <v>44</v>
      </c>
      <c r="B191" s="2483"/>
      <c r="C191" s="2483"/>
      <c r="D191" s="2487">
        <v>2028</v>
      </c>
      <c r="E191" s="2487"/>
      <c r="F191" s="2487"/>
      <c r="G191" s="2487"/>
      <c r="H191" s="2487" t="s">
        <v>302</v>
      </c>
      <c r="I191" s="2487"/>
      <c r="J191" s="2487"/>
      <c r="K191" s="2487"/>
      <c r="L191" s="2487"/>
      <c r="M191" s="2487"/>
      <c r="N191" s="2487"/>
      <c r="O191" s="2487"/>
      <c r="P191" s="2488">
        <v>60000</v>
      </c>
      <c r="Q191" s="2489"/>
      <c r="R191" s="2489"/>
      <c r="S191" s="2489"/>
      <c r="T191" s="2284">
        <f>ROUND(IPMT(($AA$3%+0.35%)/11,1,$D$219-$D$208+1,$P$220-(SUM($P$4:P190)))*-1,2)</f>
        <v>3450</v>
      </c>
      <c r="U191" s="2284"/>
      <c r="V191" s="2284"/>
      <c r="W191" s="2284"/>
      <c r="X191" s="768"/>
      <c r="Y191" s="773"/>
      <c r="Z191" s="772"/>
      <c r="AA191" s="768"/>
    </row>
    <row r="192" spans="1:27">
      <c r="A192" s="2280">
        <v>45</v>
      </c>
      <c r="B192" s="2483"/>
      <c r="C192" s="2483"/>
      <c r="D192" s="2487">
        <v>2028</v>
      </c>
      <c r="E192" s="2487"/>
      <c r="F192" s="2487"/>
      <c r="G192" s="2487"/>
      <c r="H192" s="2487" t="s">
        <v>303</v>
      </c>
      <c r="I192" s="2487"/>
      <c r="J192" s="2487"/>
      <c r="K192" s="2487"/>
      <c r="L192" s="2487"/>
      <c r="M192" s="2487"/>
      <c r="N192" s="2487"/>
      <c r="O192" s="2487"/>
      <c r="P192" s="2488">
        <v>60000</v>
      </c>
      <c r="Q192" s="2489"/>
      <c r="R192" s="2489"/>
      <c r="S192" s="2489"/>
      <c r="T192" s="2284">
        <f>ROUND(IPMT(($AA$3%+0.35%)/11,1,$D$219-$D$208+1,$P$220-(SUM($P$4:P191)))*-1,2)</f>
        <v>3300</v>
      </c>
      <c r="U192" s="2284"/>
      <c r="V192" s="2284"/>
      <c r="W192" s="2284"/>
      <c r="X192" s="768"/>
      <c r="Y192" s="773"/>
      <c r="Z192" s="772"/>
      <c r="AA192" s="768"/>
    </row>
    <row r="193" spans="1:27">
      <c r="A193" s="2280">
        <v>46</v>
      </c>
      <c r="B193" s="2483"/>
      <c r="C193" s="2483"/>
      <c r="D193" s="2487">
        <v>2028</v>
      </c>
      <c r="E193" s="2487"/>
      <c r="F193" s="2487"/>
      <c r="G193" s="2487"/>
      <c r="H193" s="2487" t="s">
        <v>304</v>
      </c>
      <c r="I193" s="2487"/>
      <c r="J193" s="2487"/>
      <c r="K193" s="2487"/>
      <c r="L193" s="2487"/>
      <c r="M193" s="2487"/>
      <c r="N193" s="2487"/>
      <c r="O193" s="2487"/>
      <c r="P193" s="2488">
        <v>60000</v>
      </c>
      <c r="Q193" s="2489"/>
      <c r="R193" s="2489"/>
      <c r="S193" s="2489"/>
      <c r="T193" s="2284">
        <f>ROUND(IPMT(($AA$3%+0.35%)/11,1,$D$219-$D$208+1,$P$220-(SUM($P$4:P192)))*-1,2)</f>
        <v>3150</v>
      </c>
      <c r="U193" s="2284"/>
      <c r="V193" s="2284"/>
      <c r="W193" s="2284"/>
      <c r="X193" s="768"/>
      <c r="Y193" s="773"/>
      <c r="Z193" s="772"/>
      <c r="AA193" s="768"/>
    </row>
    <row r="194" spans="1:27">
      <c r="A194" s="2280">
        <v>47</v>
      </c>
      <c r="B194" s="2483"/>
      <c r="C194" s="2483"/>
      <c r="D194" s="2487">
        <v>2028</v>
      </c>
      <c r="E194" s="2487"/>
      <c r="F194" s="2487"/>
      <c r="G194" s="2487"/>
      <c r="H194" s="2487" t="s">
        <v>305</v>
      </c>
      <c r="I194" s="2487"/>
      <c r="J194" s="2487"/>
      <c r="K194" s="2487"/>
      <c r="L194" s="2487"/>
      <c r="M194" s="2487"/>
      <c r="N194" s="2487"/>
      <c r="O194" s="2487"/>
      <c r="P194" s="2488">
        <v>60000</v>
      </c>
      <c r="Q194" s="2489"/>
      <c r="R194" s="2489"/>
      <c r="S194" s="2489"/>
      <c r="T194" s="2284">
        <f>ROUND(IPMT(($AA$3%+0.35%)/11,1,$D$219-$D$208+1,$P$220-(SUM($P$4:P193)))*-1,2)</f>
        <v>3000</v>
      </c>
      <c r="U194" s="2284"/>
      <c r="V194" s="2284"/>
      <c r="W194" s="2284"/>
      <c r="X194" s="768"/>
      <c r="Y194" s="773"/>
      <c r="Z194" s="772"/>
      <c r="AA194" s="768"/>
    </row>
    <row r="195" spans="1:27">
      <c r="A195" s="2280">
        <v>48</v>
      </c>
      <c r="B195" s="2483"/>
      <c r="C195" s="2483"/>
      <c r="D195" s="2487">
        <v>2028</v>
      </c>
      <c r="E195" s="2487"/>
      <c r="F195" s="2487"/>
      <c r="G195" s="2487"/>
      <c r="H195" s="2502" t="s">
        <v>306</v>
      </c>
      <c r="I195" s="2502"/>
      <c r="J195" s="2502"/>
      <c r="K195" s="2502"/>
      <c r="L195" s="2502"/>
      <c r="M195" s="2502"/>
      <c r="N195" s="2502"/>
      <c r="O195" s="2502"/>
      <c r="P195" s="2488">
        <v>60000</v>
      </c>
      <c r="Q195" s="2489"/>
      <c r="R195" s="2489"/>
      <c r="S195" s="2489"/>
      <c r="T195" s="2279">
        <f>ROUND(IPMT(($AA$3%+0.35%)/11,1,$D$219-$D$208+1,$P$220-(SUM($P$4:P194)))*-1,2)</f>
        <v>2850</v>
      </c>
      <c r="U195" s="2279"/>
      <c r="V195" s="2279"/>
      <c r="W195" s="2279"/>
      <c r="X195" s="768"/>
      <c r="Y195" s="2494">
        <f>SUM(T184:W195)</f>
        <v>44100</v>
      </c>
      <c r="Z195" s="2495"/>
      <c r="AA195" s="768"/>
    </row>
    <row r="196" spans="1:27">
      <c r="A196" s="2280">
        <v>37</v>
      </c>
      <c r="B196" s="2483"/>
      <c r="C196" s="2483"/>
      <c r="D196" s="2487">
        <v>2029</v>
      </c>
      <c r="E196" s="2487"/>
      <c r="F196" s="2487"/>
      <c r="G196" s="2487"/>
      <c r="H196" s="2487" t="s">
        <v>295</v>
      </c>
      <c r="I196" s="2487"/>
      <c r="J196" s="2487"/>
      <c r="K196" s="2487"/>
      <c r="L196" s="2487"/>
      <c r="M196" s="2487"/>
      <c r="N196" s="2487"/>
      <c r="O196" s="2487"/>
      <c r="P196" s="2488">
        <v>60000</v>
      </c>
      <c r="Q196" s="2489"/>
      <c r="R196" s="2489"/>
      <c r="S196" s="2489"/>
      <c r="T196" s="2284">
        <f>ROUND(IPMT(($AA$3%+0.35%)/11,1,$D$219-$D$88+1,$P$220-(SUM($P$4:P195)))*-1,2)</f>
        <v>2700</v>
      </c>
      <c r="U196" s="2284"/>
      <c r="V196" s="2284"/>
      <c r="W196" s="2284"/>
      <c r="X196" s="768"/>
      <c r="Y196" s="773"/>
      <c r="Z196" s="772"/>
      <c r="AA196" s="768"/>
    </row>
    <row r="197" spans="1:27">
      <c r="A197" s="2496">
        <v>38</v>
      </c>
      <c r="B197" s="2497"/>
      <c r="C197" s="2497"/>
      <c r="D197" s="2498">
        <v>2029</v>
      </c>
      <c r="E197" s="2498"/>
      <c r="F197" s="2498"/>
      <c r="G197" s="2498"/>
      <c r="H197" s="2498" t="s">
        <v>296</v>
      </c>
      <c r="I197" s="2498"/>
      <c r="J197" s="2498"/>
      <c r="K197" s="2498"/>
      <c r="L197" s="2498"/>
      <c r="M197" s="2498"/>
      <c r="N197" s="2498"/>
      <c r="O197" s="2498"/>
      <c r="P197" s="2499">
        <v>60000</v>
      </c>
      <c r="Q197" s="2500"/>
      <c r="R197" s="2500"/>
      <c r="S197" s="2500"/>
      <c r="T197" s="2501">
        <f>ROUND(IPMT(($AA$3%+0.35%)/11,1,$D$219-$D$208+1,$P$220-(SUM($P$4:P196)))*-1,2)</f>
        <v>2550</v>
      </c>
      <c r="U197" s="2501"/>
      <c r="V197" s="2501"/>
      <c r="W197" s="2501"/>
      <c r="X197" s="768"/>
      <c r="Y197" s="773"/>
      <c r="Z197" s="772"/>
      <c r="AA197" s="768"/>
    </row>
    <row r="198" spans="1:27">
      <c r="A198" s="2280">
        <v>39</v>
      </c>
      <c r="B198" s="2483"/>
      <c r="C198" s="2483"/>
      <c r="D198" s="2487">
        <v>2029</v>
      </c>
      <c r="E198" s="2487"/>
      <c r="F198" s="2487"/>
      <c r="G198" s="2487"/>
      <c r="H198" s="2487" t="s">
        <v>297</v>
      </c>
      <c r="I198" s="2487"/>
      <c r="J198" s="2487"/>
      <c r="K198" s="2487"/>
      <c r="L198" s="2487"/>
      <c r="M198" s="2487"/>
      <c r="N198" s="2487"/>
      <c r="O198" s="2487"/>
      <c r="P198" s="2488">
        <v>60000</v>
      </c>
      <c r="Q198" s="2489"/>
      <c r="R198" s="2489"/>
      <c r="S198" s="2489"/>
      <c r="T198" s="2284">
        <f>ROUND(IPMT(($AA$3%+0.35%)/11,1,$D$219-$D$208+1,$P$220-(SUM($P$4:P197)))*-1,2)</f>
        <v>2400</v>
      </c>
      <c r="U198" s="2284"/>
      <c r="V198" s="2284"/>
      <c r="W198" s="2284"/>
      <c r="X198" s="768"/>
      <c r="Y198" s="773"/>
      <c r="Z198" s="772"/>
      <c r="AA198" s="768"/>
    </row>
    <row r="199" spans="1:27">
      <c r="A199" s="2280">
        <v>40</v>
      </c>
      <c r="B199" s="2483"/>
      <c r="C199" s="2483"/>
      <c r="D199" s="2487">
        <v>2029</v>
      </c>
      <c r="E199" s="2487"/>
      <c r="F199" s="2487"/>
      <c r="G199" s="2487"/>
      <c r="H199" s="2487" t="s">
        <v>298</v>
      </c>
      <c r="I199" s="2487"/>
      <c r="J199" s="2487"/>
      <c r="K199" s="2487"/>
      <c r="L199" s="2487"/>
      <c r="M199" s="2487"/>
      <c r="N199" s="2487"/>
      <c r="O199" s="2487"/>
      <c r="P199" s="2488">
        <v>60000</v>
      </c>
      <c r="Q199" s="2489"/>
      <c r="R199" s="2489"/>
      <c r="S199" s="2489"/>
      <c r="T199" s="2284">
        <f>ROUND(IPMT(($AA$3%+0.35%)/11,1,$D$219-$D$208+1,$P$220-(SUM($P$4:P198)))*-1,2)</f>
        <v>2250</v>
      </c>
      <c r="U199" s="2284"/>
      <c r="V199" s="2284"/>
      <c r="W199" s="2284"/>
      <c r="X199" s="768"/>
      <c r="Y199" s="773"/>
      <c r="Z199" s="772"/>
      <c r="AA199" s="768"/>
    </row>
    <row r="200" spans="1:27">
      <c r="A200" s="2280">
        <v>41</v>
      </c>
      <c r="B200" s="2483"/>
      <c r="C200" s="2483"/>
      <c r="D200" s="2487">
        <v>2029</v>
      </c>
      <c r="E200" s="2487"/>
      <c r="F200" s="2487"/>
      <c r="G200" s="2487"/>
      <c r="H200" s="2487" t="s">
        <v>299</v>
      </c>
      <c r="I200" s="2487"/>
      <c r="J200" s="2487"/>
      <c r="K200" s="2487"/>
      <c r="L200" s="2487"/>
      <c r="M200" s="2487"/>
      <c r="N200" s="2487"/>
      <c r="O200" s="2487"/>
      <c r="P200" s="2488">
        <v>60000</v>
      </c>
      <c r="Q200" s="2489"/>
      <c r="R200" s="2489"/>
      <c r="S200" s="2489"/>
      <c r="T200" s="2284">
        <f>ROUND(IPMT(($AA$3%+0.35%)/11,1,$D$219-$D$208+1,$P$220-(SUM($P$4:P199)))*-1,2)</f>
        <v>2100</v>
      </c>
      <c r="U200" s="2284"/>
      <c r="V200" s="2284"/>
      <c r="W200" s="2284"/>
      <c r="X200" s="768"/>
      <c r="Y200" s="773"/>
      <c r="Z200" s="772"/>
      <c r="AA200" s="768"/>
    </row>
    <row r="201" spans="1:27">
      <c r="A201" s="2280">
        <v>42</v>
      </c>
      <c r="B201" s="2483"/>
      <c r="C201" s="2483"/>
      <c r="D201" s="2487">
        <v>2029</v>
      </c>
      <c r="E201" s="2487"/>
      <c r="F201" s="2487"/>
      <c r="G201" s="2487"/>
      <c r="H201" s="2487" t="s">
        <v>300</v>
      </c>
      <c r="I201" s="2487"/>
      <c r="J201" s="2487"/>
      <c r="K201" s="2487"/>
      <c r="L201" s="2487"/>
      <c r="M201" s="2487"/>
      <c r="N201" s="2487"/>
      <c r="O201" s="2487"/>
      <c r="P201" s="2488">
        <v>60000</v>
      </c>
      <c r="Q201" s="2489"/>
      <c r="R201" s="2489"/>
      <c r="S201" s="2489"/>
      <c r="T201" s="2284">
        <f>ROUND(IPMT(($AA$3%+0.35%)/11,1,$D$219-$D$208+1,$P$220-(SUM($P$4:P200)))*-1,2)</f>
        <v>1950</v>
      </c>
      <c r="U201" s="2284"/>
      <c r="V201" s="2284"/>
      <c r="W201" s="2284"/>
      <c r="X201" s="768"/>
      <c r="Y201" s="773"/>
      <c r="Z201" s="772"/>
      <c r="AA201" s="768"/>
    </row>
    <row r="202" spans="1:27">
      <c r="A202" s="2280">
        <v>43</v>
      </c>
      <c r="B202" s="2483"/>
      <c r="C202" s="2483"/>
      <c r="D202" s="2487">
        <v>2029</v>
      </c>
      <c r="E202" s="2487"/>
      <c r="F202" s="2487"/>
      <c r="G202" s="2487"/>
      <c r="H202" s="2487" t="s">
        <v>301</v>
      </c>
      <c r="I202" s="2487"/>
      <c r="J202" s="2487"/>
      <c r="K202" s="2487"/>
      <c r="L202" s="2487"/>
      <c r="M202" s="2487"/>
      <c r="N202" s="2487"/>
      <c r="O202" s="2487"/>
      <c r="P202" s="2488">
        <v>60000</v>
      </c>
      <c r="Q202" s="2489"/>
      <c r="R202" s="2489"/>
      <c r="S202" s="2489"/>
      <c r="T202" s="2284">
        <f>ROUND(IPMT(($AA$3%+0.35%)/11,1,$D$219-$D$208+1,$P$220-(SUM($P$4:P201)))*-1,2)</f>
        <v>1800</v>
      </c>
      <c r="U202" s="2284"/>
      <c r="V202" s="2284"/>
      <c r="W202" s="2284"/>
      <c r="X202" s="768"/>
      <c r="Y202" s="773"/>
      <c r="Z202" s="772"/>
      <c r="AA202" s="768"/>
    </row>
    <row r="203" spans="1:27">
      <c r="A203" s="2280">
        <v>44</v>
      </c>
      <c r="B203" s="2483"/>
      <c r="C203" s="2483"/>
      <c r="D203" s="2487">
        <v>2029</v>
      </c>
      <c r="E203" s="2487"/>
      <c r="F203" s="2487"/>
      <c r="G203" s="2487"/>
      <c r="H203" s="2487" t="s">
        <v>302</v>
      </c>
      <c r="I203" s="2487"/>
      <c r="J203" s="2487"/>
      <c r="K203" s="2487"/>
      <c r="L203" s="2487"/>
      <c r="M203" s="2487"/>
      <c r="N203" s="2487"/>
      <c r="O203" s="2487"/>
      <c r="P203" s="2488">
        <v>60000</v>
      </c>
      <c r="Q203" s="2489"/>
      <c r="R203" s="2489"/>
      <c r="S203" s="2489"/>
      <c r="T203" s="2284">
        <f>ROUND(IPMT(($AA$3%+0.35%)/11,1,$D$219-$D$208+1,$P$220-(SUM($P$4:P202)))*-1,2)</f>
        <v>1650</v>
      </c>
      <c r="U203" s="2284"/>
      <c r="V203" s="2284"/>
      <c r="W203" s="2284"/>
      <c r="X203" s="768"/>
      <c r="Y203" s="773"/>
      <c r="Z203" s="772"/>
      <c r="AA203" s="768"/>
    </row>
    <row r="204" spans="1:27">
      <c r="A204" s="2280">
        <v>45</v>
      </c>
      <c r="B204" s="2483"/>
      <c r="C204" s="2483"/>
      <c r="D204" s="2487">
        <v>2029</v>
      </c>
      <c r="E204" s="2487"/>
      <c r="F204" s="2487"/>
      <c r="G204" s="2487"/>
      <c r="H204" s="2487" t="s">
        <v>303</v>
      </c>
      <c r="I204" s="2487"/>
      <c r="J204" s="2487"/>
      <c r="K204" s="2487"/>
      <c r="L204" s="2487"/>
      <c r="M204" s="2487"/>
      <c r="N204" s="2487"/>
      <c r="O204" s="2487"/>
      <c r="P204" s="2488">
        <v>60000</v>
      </c>
      <c r="Q204" s="2489"/>
      <c r="R204" s="2489"/>
      <c r="S204" s="2489"/>
      <c r="T204" s="2284">
        <f>ROUND(IPMT(($AA$3%+0.35%)/11,1,$D$219-$D$208+1,$P$220-(SUM($P$4:P203)))*-1,2)</f>
        <v>1500</v>
      </c>
      <c r="U204" s="2284"/>
      <c r="V204" s="2284"/>
      <c r="W204" s="2284"/>
      <c r="X204" s="768"/>
      <c r="Y204" s="773"/>
      <c r="Z204" s="772"/>
      <c r="AA204" s="768"/>
    </row>
    <row r="205" spans="1:27">
      <c r="A205" s="2280">
        <v>46</v>
      </c>
      <c r="B205" s="2483"/>
      <c r="C205" s="2483"/>
      <c r="D205" s="2487">
        <v>2029</v>
      </c>
      <c r="E205" s="2487"/>
      <c r="F205" s="2487"/>
      <c r="G205" s="2487"/>
      <c r="H205" s="2487" t="s">
        <v>304</v>
      </c>
      <c r="I205" s="2487"/>
      <c r="J205" s="2487"/>
      <c r="K205" s="2487"/>
      <c r="L205" s="2487"/>
      <c r="M205" s="2487"/>
      <c r="N205" s="2487"/>
      <c r="O205" s="2487"/>
      <c r="P205" s="2488">
        <v>60000</v>
      </c>
      <c r="Q205" s="2489"/>
      <c r="R205" s="2489"/>
      <c r="S205" s="2489"/>
      <c r="T205" s="2284">
        <f>ROUND(IPMT(($AA$3%+0.35%)/11,1,$D$219-$D$208+1,$P$220-(SUM($P$4:P204)))*-1,2)</f>
        <v>1350</v>
      </c>
      <c r="U205" s="2284"/>
      <c r="V205" s="2284"/>
      <c r="W205" s="2284"/>
      <c r="X205" s="768"/>
      <c r="Y205" s="773"/>
      <c r="Z205" s="772"/>
      <c r="AA205" s="768"/>
    </row>
    <row r="206" spans="1:27">
      <c r="A206" s="2280">
        <v>47</v>
      </c>
      <c r="B206" s="2483"/>
      <c r="C206" s="2483"/>
      <c r="D206" s="2487">
        <v>2029</v>
      </c>
      <c r="E206" s="2487"/>
      <c r="F206" s="2487"/>
      <c r="G206" s="2487"/>
      <c r="H206" s="2487" t="s">
        <v>305</v>
      </c>
      <c r="I206" s="2487"/>
      <c r="J206" s="2487"/>
      <c r="K206" s="2487"/>
      <c r="L206" s="2487"/>
      <c r="M206" s="2487"/>
      <c r="N206" s="2487"/>
      <c r="O206" s="2487"/>
      <c r="P206" s="2488">
        <v>60000</v>
      </c>
      <c r="Q206" s="2489"/>
      <c r="R206" s="2489"/>
      <c r="S206" s="2489"/>
      <c r="T206" s="2284">
        <f>ROUND(IPMT(($AA$3%+0.35%)/11,1,$D$219-$D$208+1,$P$220-(SUM($P$4:P205)))*-1,2)</f>
        <v>1200</v>
      </c>
      <c r="U206" s="2284"/>
      <c r="V206" s="2284"/>
      <c r="W206" s="2284"/>
      <c r="X206" s="768"/>
      <c r="Y206" s="773"/>
      <c r="Z206" s="772"/>
      <c r="AA206" s="768"/>
    </row>
    <row r="207" spans="1:27">
      <c r="A207" s="2280">
        <v>48</v>
      </c>
      <c r="B207" s="2483"/>
      <c r="C207" s="2483"/>
      <c r="D207" s="2487">
        <v>2029</v>
      </c>
      <c r="E207" s="2487"/>
      <c r="F207" s="2487"/>
      <c r="G207" s="2487"/>
      <c r="H207" s="2502" t="s">
        <v>306</v>
      </c>
      <c r="I207" s="2502"/>
      <c r="J207" s="2502"/>
      <c r="K207" s="2502"/>
      <c r="L207" s="2502"/>
      <c r="M207" s="2502"/>
      <c r="N207" s="2502"/>
      <c r="O207" s="2502"/>
      <c r="P207" s="2488">
        <v>60000</v>
      </c>
      <c r="Q207" s="2489"/>
      <c r="R207" s="2489"/>
      <c r="S207" s="2489"/>
      <c r="T207" s="2279">
        <f>ROUND(IPMT(($AA$3%+0.35%)/11,1,$D$219-$D$208+1,$P$220-(SUM($P$4:P206)))*-1,2)</f>
        <v>1050</v>
      </c>
      <c r="U207" s="2279"/>
      <c r="V207" s="2279"/>
      <c r="W207" s="2279"/>
      <c r="X207" s="768"/>
      <c r="Y207" s="2494">
        <f>SUM(T196:W207)</f>
        <v>22500</v>
      </c>
      <c r="Z207" s="2495"/>
      <c r="AA207" s="768"/>
    </row>
    <row r="208" spans="1:27">
      <c r="A208" s="2496">
        <v>37</v>
      </c>
      <c r="B208" s="2497"/>
      <c r="C208" s="2497"/>
      <c r="D208" s="2498">
        <v>2030</v>
      </c>
      <c r="E208" s="2498"/>
      <c r="F208" s="2498"/>
      <c r="G208" s="2498"/>
      <c r="H208" s="2498" t="s">
        <v>295</v>
      </c>
      <c r="I208" s="2498"/>
      <c r="J208" s="2498"/>
      <c r="K208" s="2498"/>
      <c r="L208" s="2498"/>
      <c r="M208" s="2498"/>
      <c r="N208" s="2498"/>
      <c r="O208" s="2498"/>
      <c r="P208" s="2499">
        <v>60000</v>
      </c>
      <c r="Q208" s="2500"/>
      <c r="R208" s="2500"/>
      <c r="S208" s="2500"/>
      <c r="T208" s="2501">
        <f>ROUND(IPMT(($AA$3%+0.35%)/11,1,$D$219-$D$88+1,$P$220-(SUM($P$4:P207)))*-1,2)</f>
        <v>900</v>
      </c>
      <c r="U208" s="2501"/>
      <c r="V208" s="2501"/>
      <c r="W208" s="2501"/>
      <c r="X208" s="768"/>
      <c r="Y208" s="768"/>
      <c r="Z208" s="768"/>
      <c r="AA208" s="768"/>
    </row>
    <row r="209" spans="1:27">
      <c r="A209" s="2280">
        <v>38</v>
      </c>
      <c r="B209" s="2483"/>
      <c r="C209" s="2483"/>
      <c r="D209" s="2487">
        <f>$D$208</f>
        <v>2030</v>
      </c>
      <c r="E209" s="2487"/>
      <c r="F209" s="2487"/>
      <c r="G209" s="2487"/>
      <c r="H209" s="2487" t="s">
        <v>296</v>
      </c>
      <c r="I209" s="2487"/>
      <c r="J209" s="2487"/>
      <c r="K209" s="2487"/>
      <c r="L209" s="2487"/>
      <c r="M209" s="2487"/>
      <c r="N209" s="2487"/>
      <c r="O209" s="2487"/>
      <c r="P209" s="2488">
        <v>60000</v>
      </c>
      <c r="Q209" s="2489"/>
      <c r="R209" s="2489"/>
      <c r="S209" s="2489"/>
      <c r="T209" s="2284">
        <f>ROUND(IPMT(($AA$3%+0.35%)/11,1,$D$219-$D$208+1,$P$220-(SUM($P$4:P208)))*-1,2)</f>
        <v>750</v>
      </c>
      <c r="U209" s="2284"/>
      <c r="V209" s="2284"/>
      <c r="W209" s="2284"/>
      <c r="X209" s="768"/>
      <c r="Y209" s="768"/>
      <c r="Z209" s="768"/>
      <c r="AA209" s="768"/>
    </row>
    <row r="210" spans="1:27">
      <c r="A210" s="2280">
        <v>39</v>
      </c>
      <c r="B210" s="2483"/>
      <c r="C210" s="2483"/>
      <c r="D210" s="2487">
        <f t="shared" ref="D210:D219" si="11">$D$208</f>
        <v>2030</v>
      </c>
      <c r="E210" s="2487"/>
      <c r="F210" s="2487"/>
      <c r="G210" s="2487"/>
      <c r="H210" s="2487" t="s">
        <v>297</v>
      </c>
      <c r="I210" s="2487"/>
      <c r="J210" s="2487"/>
      <c r="K210" s="2487"/>
      <c r="L210" s="2487"/>
      <c r="M210" s="2487"/>
      <c r="N210" s="2487"/>
      <c r="O210" s="2487"/>
      <c r="P210" s="2488">
        <v>60000</v>
      </c>
      <c r="Q210" s="2489"/>
      <c r="R210" s="2489"/>
      <c r="S210" s="2489"/>
      <c r="T210" s="2284">
        <f>ROUND(IPMT(($AA$3%+0.35%)/11,1,$D$219-$D$208+1,$P$220-(SUM($P$4:P209)))*-1,2)</f>
        <v>600</v>
      </c>
      <c r="U210" s="2284"/>
      <c r="V210" s="2284"/>
      <c r="W210" s="2284"/>
      <c r="X210" s="768"/>
      <c r="Y210" s="768"/>
      <c r="Z210" s="768"/>
      <c r="AA210" s="768"/>
    </row>
    <row r="211" spans="1:27">
      <c r="A211" s="2280">
        <v>40</v>
      </c>
      <c r="B211" s="2483"/>
      <c r="C211" s="2483"/>
      <c r="D211" s="2487">
        <f t="shared" si="11"/>
        <v>2030</v>
      </c>
      <c r="E211" s="2487"/>
      <c r="F211" s="2487"/>
      <c r="G211" s="2487"/>
      <c r="H211" s="2487" t="s">
        <v>298</v>
      </c>
      <c r="I211" s="2487"/>
      <c r="J211" s="2487"/>
      <c r="K211" s="2487"/>
      <c r="L211" s="2487"/>
      <c r="M211" s="2487"/>
      <c r="N211" s="2487"/>
      <c r="O211" s="2487"/>
      <c r="P211" s="2488">
        <v>60000</v>
      </c>
      <c r="Q211" s="2489"/>
      <c r="R211" s="2489"/>
      <c r="S211" s="2489"/>
      <c r="T211" s="2284">
        <f>ROUND(IPMT(($AA$3%+0.35%)/11,1,$D$219-$D$208+1,$P$220-(SUM($P$4:P210)))*-1,2)</f>
        <v>450</v>
      </c>
      <c r="U211" s="2284"/>
      <c r="V211" s="2284"/>
      <c r="W211" s="2284"/>
      <c r="X211" s="768"/>
      <c r="Y211" s="768"/>
      <c r="Z211" s="768"/>
      <c r="AA211" s="768"/>
    </row>
    <row r="212" spans="1:27">
      <c r="A212" s="2280">
        <v>41</v>
      </c>
      <c r="B212" s="2483"/>
      <c r="C212" s="2483"/>
      <c r="D212" s="2487">
        <f t="shared" si="11"/>
        <v>2030</v>
      </c>
      <c r="E212" s="2487"/>
      <c r="F212" s="2487"/>
      <c r="G212" s="2487"/>
      <c r="H212" s="2487" t="s">
        <v>299</v>
      </c>
      <c r="I212" s="2487"/>
      <c r="J212" s="2487"/>
      <c r="K212" s="2487"/>
      <c r="L212" s="2487"/>
      <c r="M212" s="2487"/>
      <c r="N212" s="2487"/>
      <c r="O212" s="2487"/>
      <c r="P212" s="2488">
        <v>60000</v>
      </c>
      <c r="Q212" s="2489"/>
      <c r="R212" s="2489"/>
      <c r="S212" s="2489"/>
      <c r="T212" s="2284">
        <f>ROUND(IPMT(($AA$3%+0.35%)/11,1,$D$219-$D$208+1,$P$220-(SUM($P$4:P211)))*-1,2)</f>
        <v>300</v>
      </c>
      <c r="U212" s="2284"/>
      <c r="V212" s="2284"/>
      <c r="W212" s="2284"/>
      <c r="X212" s="768"/>
      <c r="Y212" s="768"/>
      <c r="Z212" s="768"/>
      <c r="AA212" s="768"/>
    </row>
    <row r="213" spans="1:27">
      <c r="A213" s="2280">
        <v>42</v>
      </c>
      <c r="B213" s="2483"/>
      <c r="C213" s="2483"/>
      <c r="D213" s="2487">
        <f t="shared" si="11"/>
        <v>2030</v>
      </c>
      <c r="E213" s="2487"/>
      <c r="F213" s="2487"/>
      <c r="G213" s="2487"/>
      <c r="H213" s="2487" t="s">
        <v>300</v>
      </c>
      <c r="I213" s="2487"/>
      <c r="J213" s="2487"/>
      <c r="K213" s="2487"/>
      <c r="L213" s="2487"/>
      <c r="M213" s="2487"/>
      <c r="N213" s="2487"/>
      <c r="O213" s="2487"/>
      <c r="P213" s="2488">
        <v>60000</v>
      </c>
      <c r="Q213" s="2489"/>
      <c r="R213" s="2489"/>
      <c r="S213" s="2489"/>
      <c r="T213" s="2284">
        <f>ROUND(IPMT(($AA$3%+0.35%)/11,1,$D$219-$D$208+1,$P$220-(SUM($P$4:P212)))*-1,2)</f>
        <v>150</v>
      </c>
      <c r="U213" s="2284"/>
      <c r="V213" s="2284"/>
      <c r="W213" s="2284"/>
      <c r="X213" s="768"/>
      <c r="Y213" s="768"/>
      <c r="Z213" s="768"/>
      <c r="AA213" s="768"/>
    </row>
    <row r="214" spans="1:27">
      <c r="A214" s="2280">
        <v>43</v>
      </c>
      <c r="B214" s="2483"/>
      <c r="C214" s="2483"/>
      <c r="D214" s="2487">
        <f t="shared" si="11"/>
        <v>2030</v>
      </c>
      <c r="E214" s="2487"/>
      <c r="F214" s="2487"/>
      <c r="G214" s="2487"/>
      <c r="H214" s="2487" t="s">
        <v>301</v>
      </c>
      <c r="I214" s="2487"/>
      <c r="J214" s="2487"/>
      <c r="K214" s="2487"/>
      <c r="L214" s="2487"/>
      <c r="M214" s="2487"/>
      <c r="N214" s="2487"/>
      <c r="O214" s="2487"/>
      <c r="P214" s="2488">
        <v>0</v>
      </c>
      <c r="Q214" s="2489"/>
      <c r="R214" s="2489"/>
      <c r="S214" s="2489"/>
      <c r="T214" s="2284">
        <f>ROUND(IPMT(($AA$3%+0.35%)/11,1,$D$219-$D$208+1,$P$220-(SUM($P$4:P213)))*-1,2)</f>
        <v>0</v>
      </c>
      <c r="U214" s="2284"/>
      <c r="V214" s="2284"/>
      <c r="W214" s="2284"/>
      <c r="X214" s="768"/>
      <c r="Y214" s="768"/>
      <c r="Z214" s="768"/>
      <c r="AA214" s="768"/>
    </row>
    <row r="215" spans="1:27">
      <c r="A215" s="2280">
        <v>44</v>
      </c>
      <c r="B215" s="2483"/>
      <c r="C215" s="2483"/>
      <c r="D215" s="2487">
        <f t="shared" si="11"/>
        <v>2030</v>
      </c>
      <c r="E215" s="2487"/>
      <c r="F215" s="2487"/>
      <c r="G215" s="2487"/>
      <c r="H215" s="2487" t="s">
        <v>302</v>
      </c>
      <c r="I215" s="2487"/>
      <c r="J215" s="2487"/>
      <c r="K215" s="2487"/>
      <c r="L215" s="2487"/>
      <c r="M215" s="2487"/>
      <c r="N215" s="2487"/>
      <c r="O215" s="2487"/>
      <c r="P215" s="2488">
        <v>0</v>
      </c>
      <c r="Q215" s="2489"/>
      <c r="R215" s="2489"/>
      <c r="S215" s="2489"/>
      <c r="T215" s="2284">
        <f>ROUND(IPMT(($AA$3%+0.35%)/11,1,$D$219-$D$208+1,$P$220-(SUM($P$4:P214)))*-1,2)</f>
        <v>0</v>
      </c>
      <c r="U215" s="2284"/>
      <c r="V215" s="2284"/>
      <c r="W215" s="2284"/>
      <c r="X215" s="768"/>
      <c r="Y215" s="768"/>
      <c r="Z215" s="768"/>
      <c r="AA215" s="768"/>
    </row>
    <row r="216" spans="1:27">
      <c r="A216" s="2280">
        <v>45</v>
      </c>
      <c r="B216" s="2483"/>
      <c r="C216" s="2483"/>
      <c r="D216" s="2487">
        <f t="shared" si="11"/>
        <v>2030</v>
      </c>
      <c r="E216" s="2487"/>
      <c r="F216" s="2487"/>
      <c r="G216" s="2487"/>
      <c r="H216" s="2487" t="s">
        <v>303</v>
      </c>
      <c r="I216" s="2487"/>
      <c r="J216" s="2487"/>
      <c r="K216" s="2487"/>
      <c r="L216" s="2487"/>
      <c r="M216" s="2487"/>
      <c r="N216" s="2487"/>
      <c r="O216" s="2487"/>
      <c r="P216" s="2488">
        <v>0</v>
      </c>
      <c r="Q216" s="2489"/>
      <c r="R216" s="2489"/>
      <c r="S216" s="2489"/>
      <c r="T216" s="2284">
        <f>ROUND(IPMT(($AA$3%+0.35%)/11,1,$D$219-$D$208+1,$P$220-(SUM($P$4:P215)))*-1,2)</f>
        <v>0</v>
      </c>
      <c r="U216" s="2284"/>
      <c r="V216" s="2284"/>
      <c r="W216" s="2284"/>
      <c r="X216" s="768"/>
      <c r="Y216" s="768"/>
      <c r="Z216" s="768"/>
      <c r="AA216" s="768"/>
    </row>
    <row r="217" spans="1:27">
      <c r="A217" s="2280">
        <v>46</v>
      </c>
      <c r="B217" s="2483"/>
      <c r="C217" s="2483"/>
      <c r="D217" s="2487">
        <f t="shared" si="11"/>
        <v>2030</v>
      </c>
      <c r="E217" s="2487"/>
      <c r="F217" s="2487"/>
      <c r="G217" s="2487"/>
      <c r="H217" s="2487" t="s">
        <v>304</v>
      </c>
      <c r="I217" s="2487"/>
      <c r="J217" s="2487"/>
      <c r="K217" s="2487"/>
      <c r="L217" s="2487"/>
      <c r="M217" s="2487"/>
      <c r="N217" s="2487"/>
      <c r="O217" s="2487"/>
      <c r="P217" s="2488">
        <v>0</v>
      </c>
      <c r="Q217" s="2489"/>
      <c r="R217" s="2489"/>
      <c r="S217" s="2489"/>
      <c r="T217" s="2284">
        <f>ROUND(IPMT(($AA$3%+0.35%)/11,1,$D$219-$D$208+1,$P$220-(SUM($P$4:P216)))*-1,2)</f>
        <v>0</v>
      </c>
      <c r="U217" s="2284"/>
      <c r="V217" s="2284"/>
      <c r="W217" s="2284"/>
      <c r="X217" s="768"/>
      <c r="Y217" s="768"/>
      <c r="Z217" s="768"/>
      <c r="AA217" s="768"/>
    </row>
    <row r="218" spans="1:27">
      <c r="A218" s="2280">
        <v>47</v>
      </c>
      <c r="B218" s="2483"/>
      <c r="C218" s="2483"/>
      <c r="D218" s="2487">
        <f t="shared" si="11"/>
        <v>2030</v>
      </c>
      <c r="E218" s="2487"/>
      <c r="F218" s="2487"/>
      <c r="G218" s="2487"/>
      <c r="H218" s="2487" t="s">
        <v>305</v>
      </c>
      <c r="I218" s="2487"/>
      <c r="J218" s="2487"/>
      <c r="K218" s="2487"/>
      <c r="L218" s="2487"/>
      <c r="M218" s="2487"/>
      <c r="N218" s="2487"/>
      <c r="O218" s="2487"/>
      <c r="P218" s="2488">
        <v>0</v>
      </c>
      <c r="Q218" s="2489"/>
      <c r="R218" s="2489"/>
      <c r="S218" s="2489"/>
      <c r="T218" s="2284">
        <f>ROUND(IPMT(($AA$3%+0.35%)/11,1,$D$219-$D$208+1,$P$220-(SUM($P$4:P217)))*-1,2)</f>
        <v>0</v>
      </c>
      <c r="U218" s="2284"/>
      <c r="V218" s="2284"/>
      <c r="W218" s="2284"/>
      <c r="X218" s="768"/>
      <c r="Y218" s="768"/>
      <c r="Z218" s="768"/>
      <c r="AA218" s="768"/>
    </row>
    <row r="219" spans="1:27">
      <c r="A219" s="2280">
        <v>48</v>
      </c>
      <c r="B219" s="2483"/>
      <c r="C219" s="2483"/>
      <c r="D219" s="2502">
        <f t="shared" si="11"/>
        <v>2030</v>
      </c>
      <c r="E219" s="2502"/>
      <c r="F219" s="2502"/>
      <c r="G219" s="2502"/>
      <c r="H219" s="2502" t="s">
        <v>306</v>
      </c>
      <c r="I219" s="2502"/>
      <c r="J219" s="2502"/>
      <c r="K219" s="2502"/>
      <c r="L219" s="2502"/>
      <c r="M219" s="2502"/>
      <c r="N219" s="2502"/>
      <c r="O219" s="2502"/>
      <c r="P219" s="2512">
        <v>0</v>
      </c>
      <c r="Q219" s="2513"/>
      <c r="R219" s="2513"/>
      <c r="S219" s="2513"/>
      <c r="T219" s="2279">
        <f>ROUND(IPMT(($AA$3%+0.35%)/11,1,$D$219-$D$208+1,$P$220-(SUM($P$4:P218)))*-1,2)</f>
        <v>0</v>
      </c>
      <c r="U219" s="2279"/>
      <c r="V219" s="2279"/>
      <c r="W219" s="2279"/>
      <c r="X219" s="768"/>
      <c r="Y219" s="768"/>
      <c r="Z219" s="2494">
        <f>SUM(T208:W219)</f>
        <v>3150</v>
      </c>
      <c r="AA219" s="2495"/>
    </row>
    <row r="220" spans="1:27" ht="14.25">
      <c r="A220" s="2504" t="s">
        <v>307</v>
      </c>
      <c r="B220" s="2505"/>
      <c r="C220" s="2505"/>
      <c r="D220" s="2505"/>
      <c r="E220" s="2505"/>
      <c r="F220" s="2505"/>
      <c r="G220" s="2505"/>
      <c r="H220" s="2505"/>
      <c r="I220" s="2505"/>
      <c r="J220" s="2505"/>
      <c r="K220" s="2505"/>
      <c r="L220" s="2505"/>
      <c r="M220" s="2505"/>
      <c r="N220" s="2505"/>
      <c r="O220" s="2506"/>
      <c r="P220" s="2507">
        <f>SUM(P4:P219)</f>
        <v>10800000</v>
      </c>
      <c r="Q220" s="2508"/>
      <c r="R220" s="2508"/>
      <c r="S220" s="2509"/>
      <c r="T220" s="2291">
        <f>SUM(T4:T219)</f>
        <v>3253800</v>
      </c>
      <c r="U220" s="2510"/>
      <c r="V220" s="2508"/>
      <c r="W220" s="2509"/>
      <c r="X220" s="768"/>
      <c r="Y220" s="768"/>
      <c r="Z220" s="768"/>
      <c r="AA220" s="768"/>
    </row>
    <row r="221" spans="1:27">
      <c r="A221" s="2511"/>
      <c r="B221" s="2511"/>
      <c r="C221" s="2511"/>
      <c r="D221" s="2511"/>
      <c r="E221" s="2511"/>
      <c r="F221" s="2511"/>
      <c r="G221" s="2511"/>
      <c r="H221" s="2511"/>
      <c r="I221" s="2511"/>
      <c r="J221" s="2511"/>
      <c r="K221" s="2511"/>
      <c r="L221" s="2511"/>
      <c r="M221" s="2511"/>
      <c r="N221" s="2511"/>
      <c r="O221" s="2511"/>
      <c r="P221" s="2511"/>
      <c r="Q221" s="2511"/>
      <c r="R221" s="2511"/>
      <c r="S221" s="2511"/>
      <c r="T221" s="2511"/>
      <c r="U221" s="2511"/>
      <c r="V221" s="2511"/>
      <c r="W221" s="2511"/>
      <c r="X221" s="768"/>
      <c r="Y221" s="775"/>
      <c r="Z221" s="775"/>
      <c r="AA221" s="775"/>
    </row>
    <row r="222" spans="1:27">
      <c r="A222" s="768"/>
      <c r="B222" s="768"/>
      <c r="C222" s="768"/>
      <c r="D222" s="768"/>
      <c r="E222" s="768"/>
      <c r="F222" s="768"/>
      <c r="G222" s="768"/>
      <c r="H222" s="768"/>
      <c r="I222" s="768"/>
      <c r="J222" s="768"/>
      <c r="K222" s="768"/>
      <c r="L222" s="768"/>
      <c r="M222" s="768"/>
      <c r="N222" s="768"/>
      <c r="O222" s="768"/>
      <c r="P222" s="768"/>
      <c r="Q222" s="768"/>
      <c r="R222" s="768"/>
      <c r="S222" s="768"/>
      <c r="T222" s="768"/>
      <c r="U222" s="768"/>
      <c r="V222" s="768"/>
      <c r="W222" s="768"/>
      <c r="X222" s="768"/>
      <c r="Y222" s="775"/>
      <c r="Z222" s="775"/>
      <c r="AA222" s="775"/>
    </row>
  </sheetData>
  <sheetProtection sheet="1" objects="1" scenarios="1"/>
  <mergeCells count="1109"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21"/>
  <sheetViews>
    <sheetView workbookViewId="0">
      <selection activeCell="AA3" sqref="AA3"/>
    </sheetView>
  </sheetViews>
  <sheetFormatPr defaultRowHeight="12.75"/>
  <cols>
    <col min="1" max="1" width="3.85546875" customWidth="1"/>
    <col min="2" max="2" width="1.140625" customWidth="1"/>
    <col min="3" max="3" width="2.28515625" customWidth="1"/>
    <col min="4" max="4" width="5.85546875" customWidth="1"/>
    <col min="5" max="5" width="5.140625" customWidth="1"/>
    <col min="6" max="7" width="9.140625" hidden="1" customWidth="1"/>
    <col min="8" max="8" width="4.85546875" customWidth="1"/>
    <col min="9" max="9" width="7.5703125" customWidth="1"/>
    <col min="10" max="10" width="9.140625" hidden="1" customWidth="1"/>
    <col min="12" max="12" width="9.140625" hidden="1" customWidth="1"/>
    <col min="13" max="13" width="0.85546875" customWidth="1"/>
    <col min="14" max="14" width="9.140625" hidden="1" customWidth="1"/>
    <col min="15" max="15" width="3.140625" customWidth="1"/>
    <col min="16" max="16" width="3.85546875" customWidth="1"/>
    <col min="17" max="18" width="2.85546875" customWidth="1"/>
    <col min="20" max="20" width="5.85546875" customWidth="1"/>
    <col min="21" max="21" width="6.5703125" customWidth="1"/>
    <col min="22" max="22" width="6.28515625" customWidth="1"/>
    <col min="23" max="23" width="4.5703125" customWidth="1"/>
    <col min="24" max="24" width="6.28515625" customWidth="1"/>
    <col min="25" max="25" width="5.140625" customWidth="1"/>
  </cols>
  <sheetData>
    <row r="1" spans="1:27">
      <c r="A1" s="2477"/>
      <c r="B1" s="2477"/>
      <c r="C1" s="2477"/>
      <c r="D1" s="2477"/>
      <c r="E1" s="2477"/>
      <c r="F1" s="2477"/>
      <c r="G1" s="2477"/>
      <c r="H1" s="2477"/>
      <c r="I1" s="2477"/>
      <c r="J1" s="2477"/>
      <c r="K1" s="2477"/>
      <c r="L1" s="2477"/>
      <c r="M1" s="2477"/>
      <c r="N1" s="2477"/>
      <c r="O1" s="2477"/>
      <c r="P1" s="2477"/>
      <c r="Q1" s="2477"/>
      <c r="R1" s="2477"/>
      <c r="S1" s="2477"/>
      <c r="T1" s="2477"/>
      <c r="U1" s="2477"/>
      <c r="V1" s="2477"/>
      <c r="W1" s="2477"/>
      <c r="X1" s="774"/>
      <c r="Y1" s="774"/>
      <c r="Z1" s="774"/>
      <c r="AA1" s="774"/>
    </row>
    <row r="2" spans="1:27" ht="18.75">
      <c r="A2" s="2478"/>
      <c r="B2" s="2478"/>
      <c r="C2" s="2478"/>
      <c r="D2" s="2478"/>
      <c r="E2" s="2478"/>
      <c r="F2" s="2478"/>
      <c r="G2" s="2478"/>
      <c r="H2" s="2478"/>
      <c r="I2" s="2478"/>
      <c r="J2" s="2478"/>
      <c r="K2" s="2478"/>
      <c r="L2" s="2478"/>
      <c r="M2" s="2478"/>
      <c r="N2" s="2478"/>
      <c r="O2" s="2478"/>
      <c r="P2" s="2478"/>
      <c r="Q2" s="2478"/>
      <c r="R2" s="2478"/>
      <c r="S2" s="2478"/>
      <c r="T2" s="2478"/>
      <c r="U2" s="2478"/>
      <c r="V2" s="2478"/>
      <c r="W2" s="2478"/>
      <c r="X2" s="774"/>
      <c r="Y2" s="769" t="s">
        <v>290</v>
      </c>
      <c r="Z2" s="774"/>
      <c r="AA2" s="770">
        <v>4.9000000000000004</v>
      </c>
    </row>
    <row r="3" spans="1:27" ht="33.75" customHeight="1">
      <c r="A3" s="2299" t="s">
        <v>187</v>
      </c>
      <c r="B3" s="2479"/>
      <c r="C3" s="2479"/>
      <c r="D3" s="2480" t="s">
        <v>291</v>
      </c>
      <c r="E3" s="2480"/>
      <c r="F3" s="2480"/>
      <c r="G3" s="2480"/>
      <c r="H3" s="2480" t="s">
        <v>292</v>
      </c>
      <c r="I3" s="2480"/>
      <c r="J3" s="2480"/>
      <c r="K3" s="2480"/>
      <c r="L3" s="2480"/>
      <c r="M3" s="2480"/>
      <c r="N3" s="2480"/>
      <c r="O3" s="2480"/>
      <c r="P3" s="2302" t="s">
        <v>293</v>
      </c>
      <c r="Q3" s="2481"/>
      <c r="R3" s="2481"/>
      <c r="S3" s="2482"/>
      <c r="T3" s="2302" t="s">
        <v>294</v>
      </c>
      <c r="U3" s="2481"/>
      <c r="V3" s="2481"/>
      <c r="W3" s="2482"/>
      <c r="X3" s="774"/>
      <c r="Y3" s="769"/>
      <c r="Z3" s="774"/>
      <c r="AA3" s="771">
        <v>6.1</v>
      </c>
    </row>
    <row r="4" spans="1:27">
      <c r="A4" s="2305">
        <v>1</v>
      </c>
      <c r="B4" s="2490"/>
      <c r="C4" s="2490"/>
      <c r="D4" s="2491">
        <v>2013</v>
      </c>
      <c r="E4" s="2491"/>
      <c r="F4" s="2491"/>
      <c r="G4" s="2491"/>
      <c r="H4" s="2491" t="s">
        <v>295</v>
      </c>
      <c r="I4" s="2491"/>
      <c r="J4" s="2491"/>
      <c r="K4" s="2491"/>
      <c r="L4" s="2491"/>
      <c r="M4" s="2491"/>
      <c r="N4" s="2491"/>
      <c r="O4" s="2491"/>
      <c r="P4" s="2492">
        <v>0</v>
      </c>
      <c r="Q4" s="2493"/>
      <c r="R4" s="2493"/>
      <c r="S4" s="2493"/>
      <c r="T4" s="2310">
        <f>IPMT((AA3%+0.35%)/11,1,$D$219-D4+1,$P$220*-1)</f>
        <v>25839.597136363634</v>
      </c>
      <c r="U4" s="2310"/>
      <c r="V4" s="2310"/>
      <c r="W4" s="2310"/>
      <c r="X4" s="774"/>
      <c r="Y4" s="774"/>
      <c r="Z4" s="774"/>
      <c r="AA4" s="774"/>
    </row>
    <row r="5" spans="1:27">
      <c r="A5" s="2280">
        <v>2</v>
      </c>
      <c r="B5" s="2483"/>
      <c r="C5" s="2483"/>
      <c r="D5" s="2484">
        <f>D4</f>
        <v>2013</v>
      </c>
      <c r="E5" s="2485"/>
      <c r="F5" s="2485"/>
      <c r="G5" s="2486"/>
      <c r="H5" s="2487" t="s">
        <v>296</v>
      </c>
      <c r="I5" s="2487"/>
      <c r="J5" s="2487"/>
      <c r="K5" s="2487"/>
      <c r="L5" s="2487"/>
      <c r="M5" s="2487"/>
      <c r="N5" s="2487"/>
      <c r="O5" s="2487"/>
      <c r="P5" s="2488">
        <v>0</v>
      </c>
      <c r="Q5" s="2489"/>
      <c r="R5" s="2489"/>
      <c r="S5" s="2489"/>
      <c r="T5" s="2284">
        <f>ROUND(IPMT(($AA$3%+0.35%)/11,1,$D$219-$D$4+1,$P$220-(SUM($P$4:P4)))*-1,2)</f>
        <v>25839.599999999999</v>
      </c>
      <c r="U5" s="2284"/>
      <c r="V5" s="2284"/>
      <c r="W5" s="2284"/>
      <c r="X5" s="774"/>
      <c r="Y5" s="774"/>
      <c r="Z5" s="774"/>
      <c r="AA5" s="774"/>
    </row>
    <row r="6" spans="1:27">
      <c r="A6" s="2280">
        <v>3</v>
      </c>
      <c r="B6" s="2483"/>
      <c r="C6" s="2483"/>
      <c r="D6" s="2484">
        <f t="shared" ref="D6:D15" si="0">D5</f>
        <v>2013</v>
      </c>
      <c r="E6" s="2485"/>
      <c r="F6" s="2485"/>
      <c r="G6" s="2486"/>
      <c r="H6" s="2487" t="s">
        <v>297</v>
      </c>
      <c r="I6" s="2487"/>
      <c r="J6" s="2487"/>
      <c r="K6" s="2487"/>
      <c r="L6" s="2487"/>
      <c r="M6" s="2487"/>
      <c r="N6" s="2487"/>
      <c r="O6" s="2487"/>
      <c r="P6" s="2488">
        <v>0</v>
      </c>
      <c r="Q6" s="2489"/>
      <c r="R6" s="2489"/>
      <c r="S6" s="2489"/>
      <c r="T6" s="2284">
        <f>ROUND(IPMT(($AA$3%+0.35%)/11,1,$D$219-$D$4+1,$P$220-(SUM($P$4:P5)))*-1,2)</f>
        <v>25839.599999999999</v>
      </c>
      <c r="U6" s="2284"/>
      <c r="V6" s="2284"/>
      <c r="W6" s="2284"/>
      <c r="X6" s="774"/>
      <c r="Y6" s="774"/>
      <c r="Z6" s="774"/>
      <c r="AA6" s="774"/>
    </row>
    <row r="7" spans="1:27">
      <c r="A7" s="2280">
        <v>4</v>
      </c>
      <c r="B7" s="2483"/>
      <c r="C7" s="2483"/>
      <c r="D7" s="2484">
        <f t="shared" si="0"/>
        <v>2013</v>
      </c>
      <c r="E7" s="2485"/>
      <c r="F7" s="2485"/>
      <c r="G7" s="2486"/>
      <c r="H7" s="2487" t="s">
        <v>298</v>
      </c>
      <c r="I7" s="2487"/>
      <c r="J7" s="2487"/>
      <c r="K7" s="2487"/>
      <c r="L7" s="2487"/>
      <c r="M7" s="2487"/>
      <c r="N7" s="2487"/>
      <c r="O7" s="2487"/>
      <c r="P7" s="2488">
        <v>0</v>
      </c>
      <c r="Q7" s="2489"/>
      <c r="R7" s="2489"/>
      <c r="S7" s="2489"/>
      <c r="T7" s="2284">
        <f>ROUND(IPMT(($AA$3%+0.35%)/11,1,$D$219-$D$4+1,$P$220-(SUM($P$4:P6)))*-1,2)</f>
        <v>25839.599999999999</v>
      </c>
      <c r="U7" s="2284"/>
      <c r="V7" s="2284"/>
      <c r="W7" s="2284"/>
      <c r="X7" s="774"/>
      <c r="Y7" s="774"/>
      <c r="Z7" s="774"/>
      <c r="AA7" s="774"/>
    </row>
    <row r="8" spans="1:27">
      <c r="A8" s="2280">
        <v>5</v>
      </c>
      <c r="B8" s="2483"/>
      <c r="C8" s="2483"/>
      <c r="D8" s="2484">
        <f t="shared" si="0"/>
        <v>2013</v>
      </c>
      <c r="E8" s="2485"/>
      <c r="F8" s="2485"/>
      <c r="G8" s="2486"/>
      <c r="H8" s="2487" t="s">
        <v>299</v>
      </c>
      <c r="I8" s="2487"/>
      <c r="J8" s="2487"/>
      <c r="K8" s="2487"/>
      <c r="L8" s="2487"/>
      <c r="M8" s="2487"/>
      <c r="N8" s="2487"/>
      <c r="O8" s="2487"/>
      <c r="P8" s="2488">
        <v>0</v>
      </c>
      <c r="Q8" s="2489"/>
      <c r="R8" s="2489"/>
      <c r="S8" s="2489"/>
      <c r="T8" s="2284">
        <f>ROUND(IPMT(($AA$3%+0.35%)/11,1,$D$219-$D$4+1,$P$220-(SUM($P$4:P7)))*-1,2)</f>
        <v>25839.599999999999</v>
      </c>
      <c r="U8" s="2284"/>
      <c r="V8" s="2284"/>
      <c r="W8" s="2284"/>
      <c r="X8" s="774"/>
      <c r="Y8" s="774"/>
      <c r="Z8" s="774"/>
      <c r="AA8" s="774"/>
    </row>
    <row r="9" spans="1:27">
      <c r="A9" s="2280">
        <v>6</v>
      </c>
      <c r="B9" s="2483"/>
      <c r="C9" s="2483"/>
      <c r="D9" s="2484">
        <f t="shared" si="0"/>
        <v>2013</v>
      </c>
      <c r="E9" s="2485"/>
      <c r="F9" s="2485"/>
      <c r="G9" s="2486"/>
      <c r="H9" s="2487" t="s">
        <v>300</v>
      </c>
      <c r="I9" s="2487"/>
      <c r="J9" s="2487"/>
      <c r="K9" s="2487"/>
      <c r="L9" s="2487"/>
      <c r="M9" s="2487"/>
      <c r="N9" s="2487"/>
      <c r="O9" s="2487"/>
      <c r="P9" s="2488">
        <v>0</v>
      </c>
      <c r="Q9" s="2489"/>
      <c r="R9" s="2489"/>
      <c r="S9" s="2489"/>
      <c r="T9" s="2284">
        <f>ROUND(IPMT(($AA$3%+0.35%)/11,1,$D$219-$D$4+1,$P$220-(SUM($P$4:P8)))*-1,2)</f>
        <v>25839.599999999999</v>
      </c>
      <c r="U9" s="2284"/>
      <c r="V9" s="2284"/>
      <c r="W9" s="2284"/>
      <c r="X9" s="774"/>
      <c r="Y9" s="774"/>
      <c r="Z9" s="774"/>
      <c r="AA9" s="774"/>
    </row>
    <row r="10" spans="1:27">
      <c r="A10" s="2280">
        <v>7</v>
      </c>
      <c r="B10" s="2483"/>
      <c r="C10" s="2483"/>
      <c r="D10" s="2484">
        <f t="shared" si="0"/>
        <v>2013</v>
      </c>
      <c r="E10" s="2485"/>
      <c r="F10" s="2485"/>
      <c r="G10" s="2486"/>
      <c r="H10" s="2487" t="s">
        <v>301</v>
      </c>
      <c r="I10" s="2487"/>
      <c r="J10" s="2487"/>
      <c r="K10" s="2487"/>
      <c r="L10" s="2487"/>
      <c r="M10" s="2487"/>
      <c r="N10" s="2487"/>
      <c r="O10" s="2487"/>
      <c r="P10" s="2488">
        <v>0</v>
      </c>
      <c r="Q10" s="2489"/>
      <c r="R10" s="2489"/>
      <c r="S10" s="2489"/>
      <c r="T10" s="2284">
        <f>ROUND(IPMT(($AA$3%+0.35%)/11,1,$D$219-$D$4+1,$P$220-(SUM($P$4:P9)))*-1,2)</f>
        <v>25839.599999999999</v>
      </c>
      <c r="U10" s="2284"/>
      <c r="V10" s="2284"/>
      <c r="W10" s="2284"/>
      <c r="X10" s="774"/>
      <c r="Y10" s="774"/>
      <c r="Z10" s="774"/>
      <c r="AA10" s="774"/>
    </row>
    <row r="11" spans="1:27">
      <c r="A11" s="2280">
        <v>8</v>
      </c>
      <c r="B11" s="2483"/>
      <c r="C11" s="2483"/>
      <c r="D11" s="2484">
        <f t="shared" si="0"/>
        <v>2013</v>
      </c>
      <c r="E11" s="2485"/>
      <c r="F11" s="2485"/>
      <c r="G11" s="2486"/>
      <c r="H11" s="2487" t="s">
        <v>302</v>
      </c>
      <c r="I11" s="2487"/>
      <c r="J11" s="2487"/>
      <c r="K11" s="2487"/>
      <c r="L11" s="2487"/>
      <c r="M11" s="2487"/>
      <c r="N11" s="2487"/>
      <c r="O11" s="2487"/>
      <c r="P11" s="2488">
        <v>0</v>
      </c>
      <c r="Q11" s="2489"/>
      <c r="R11" s="2489"/>
      <c r="S11" s="2489"/>
      <c r="T11" s="2284">
        <f>ROUND(IPMT(($AA$3%+0.35%)/11,1,$D$219-$D$4+1,$P$220-(SUM($P$4:P10)))*-1,2)</f>
        <v>25839.599999999999</v>
      </c>
      <c r="U11" s="2284"/>
      <c r="V11" s="2284"/>
      <c r="W11" s="2284"/>
      <c r="X11" s="774"/>
      <c r="Y11" s="774"/>
      <c r="Z11" s="774"/>
      <c r="AA11" s="774"/>
    </row>
    <row r="12" spans="1:27">
      <c r="A12" s="2280">
        <v>9</v>
      </c>
      <c r="B12" s="2483"/>
      <c r="C12" s="2483"/>
      <c r="D12" s="2484">
        <f t="shared" si="0"/>
        <v>2013</v>
      </c>
      <c r="E12" s="2485"/>
      <c r="F12" s="2485"/>
      <c r="G12" s="2486"/>
      <c r="H12" s="2487" t="s">
        <v>303</v>
      </c>
      <c r="I12" s="2487"/>
      <c r="J12" s="2487"/>
      <c r="K12" s="2487"/>
      <c r="L12" s="2487"/>
      <c r="M12" s="2487"/>
      <c r="N12" s="2487"/>
      <c r="O12" s="2487"/>
      <c r="P12" s="2488">
        <v>0</v>
      </c>
      <c r="Q12" s="2489"/>
      <c r="R12" s="2489"/>
      <c r="S12" s="2489"/>
      <c r="T12" s="2284">
        <f>ROUND(IPMT(($AA$3%+0.35%)/11,1,$D$219-$D$4+1,$P$220-(SUM($P$4:P11)))*-1,2)</f>
        <v>25839.599999999999</v>
      </c>
      <c r="U12" s="2284"/>
      <c r="V12" s="2284"/>
      <c r="W12" s="2284"/>
      <c r="X12" s="774"/>
      <c r="Y12" s="774"/>
      <c r="Z12" s="774"/>
      <c r="AA12" s="774"/>
    </row>
    <row r="13" spans="1:27">
      <c r="A13" s="2280">
        <v>10</v>
      </c>
      <c r="B13" s="2483"/>
      <c r="C13" s="2483"/>
      <c r="D13" s="2484">
        <f t="shared" si="0"/>
        <v>2013</v>
      </c>
      <c r="E13" s="2485"/>
      <c r="F13" s="2485"/>
      <c r="G13" s="2486"/>
      <c r="H13" s="2487" t="s">
        <v>304</v>
      </c>
      <c r="I13" s="2487"/>
      <c r="J13" s="2487"/>
      <c r="K13" s="2487"/>
      <c r="L13" s="2487"/>
      <c r="M13" s="2487"/>
      <c r="N13" s="2487"/>
      <c r="O13" s="2487"/>
      <c r="P13" s="2488">
        <v>0</v>
      </c>
      <c r="Q13" s="2489"/>
      <c r="R13" s="2489"/>
      <c r="S13" s="2489"/>
      <c r="T13" s="2284">
        <f>ROUND(IPMT(($AA$3%+0.35%)/11,1,$D$219-$D$4+1,$P$220-(SUM($P$4:P12)))*-1,2)</f>
        <v>25839.599999999999</v>
      </c>
      <c r="U13" s="2284"/>
      <c r="V13" s="2284"/>
      <c r="W13" s="2284"/>
      <c r="X13" s="774"/>
      <c r="Y13" s="774"/>
      <c r="Z13" s="774"/>
      <c r="AA13" s="774"/>
    </row>
    <row r="14" spans="1:27">
      <c r="A14" s="2280">
        <v>11</v>
      </c>
      <c r="B14" s="2483"/>
      <c r="C14" s="2483"/>
      <c r="D14" s="2484">
        <f t="shared" si="0"/>
        <v>2013</v>
      </c>
      <c r="E14" s="2485"/>
      <c r="F14" s="2485"/>
      <c r="G14" s="2486"/>
      <c r="H14" s="2487" t="s">
        <v>305</v>
      </c>
      <c r="I14" s="2487"/>
      <c r="J14" s="2487"/>
      <c r="K14" s="2487"/>
      <c r="L14" s="2487"/>
      <c r="M14" s="2487"/>
      <c r="N14" s="2487"/>
      <c r="O14" s="2487"/>
      <c r="P14" s="2488">
        <v>0</v>
      </c>
      <c r="Q14" s="2489"/>
      <c r="R14" s="2489"/>
      <c r="S14" s="2489"/>
      <c r="T14" s="2284">
        <f>ROUND(IPMT(($AA$3%+0.35%)/11,1,$D$219-$D$4+1,$P$220-(SUM($P$4:P13)))*-1,2)</f>
        <v>25839.599999999999</v>
      </c>
      <c r="U14" s="2284"/>
      <c r="V14" s="2284"/>
      <c r="W14" s="2284"/>
      <c r="X14" s="774"/>
      <c r="Y14" s="774"/>
      <c r="Z14" s="774"/>
      <c r="AA14" s="774"/>
    </row>
    <row r="15" spans="1:27">
      <c r="A15" s="2280">
        <v>12</v>
      </c>
      <c r="B15" s="2483"/>
      <c r="C15" s="2483"/>
      <c r="D15" s="2484">
        <f t="shared" si="0"/>
        <v>2013</v>
      </c>
      <c r="E15" s="2485"/>
      <c r="F15" s="2485"/>
      <c r="G15" s="2486"/>
      <c r="H15" s="2487" t="s">
        <v>306</v>
      </c>
      <c r="I15" s="2487"/>
      <c r="J15" s="2487"/>
      <c r="K15" s="2487"/>
      <c r="L15" s="2487"/>
      <c r="M15" s="2487"/>
      <c r="N15" s="2487"/>
      <c r="O15" s="2487"/>
      <c r="P15" s="2488">
        <v>0</v>
      </c>
      <c r="Q15" s="2489"/>
      <c r="R15" s="2489"/>
      <c r="S15" s="2489"/>
      <c r="T15" s="2284">
        <f>ROUND(IPMT(($AA$3%+0.35%)/11,1,$D$219-$D$4+1,$P$220-(SUM($P$4:P14)))*-1,2)</f>
        <v>25839.599999999999</v>
      </c>
      <c r="U15" s="2284"/>
      <c r="V15" s="2284"/>
      <c r="W15" s="2284"/>
      <c r="X15" s="774"/>
      <c r="Y15" s="2494">
        <f>SUM(T4:W15)</f>
        <v>310075.19713636365</v>
      </c>
      <c r="Z15" s="2495"/>
      <c r="AA15" s="774"/>
    </row>
    <row r="16" spans="1:27">
      <c r="A16" s="2496">
        <v>13</v>
      </c>
      <c r="B16" s="2497"/>
      <c r="C16" s="2497"/>
      <c r="D16" s="2498">
        <f>D15+1</f>
        <v>2014</v>
      </c>
      <c r="E16" s="2498"/>
      <c r="F16" s="2498"/>
      <c r="G16" s="2498"/>
      <c r="H16" s="2498" t="s">
        <v>295</v>
      </c>
      <c r="I16" s="2498"/>
      <c r="J16" s="2498"/>
      <c r="K16" s="2498"/>
      <c r="L16" s="2498"/>
      <c r="M16" s="2498"/>
      <c r="N16" s="2498"/>
      <c r="O16" s="2498"/>
      <c r="P16" s="2499">
        <v>0</v>
      </c>
      <c r="Q16" s="2500"/>
      <c r="R16" s="2500"/>
      <c r="S16" s="2500"/>
      <c r="T16" s="2501">
        <f>ROUND(IPMT(($AA$3%+0.35%)/11,1,$D$219-D15+1,$P$220-(SUM($P$4:P15)))*-1,2)</f>
        <v>25839.599999999999</v>
      </c>
      <c r="U16" s="2501"/>
      <c r="V16" s="2501"/>
      <c r="W16" s="2501"/>
      <c r="X16" s="774"/>
      <c r="Y16" s="772"/>
      <c r="Z16" s="772"/>
      <c r="AA16" s="774"/>
    </row>
    <row r="17" spans="1:27">
      <c r="A17" s="2280">
        <v>14</v>
      </c>
      <c r="B17" s="2483"/>
      <c r="C17" s="2483"/>
      <c r="D17" s="2487">
        <f>$D$16</f>
        <v>2014</v>
      </c>
      <c r="E17" s="2487"/>
      <c r="F17" s="2487"/>
      <c r="G17" s="2487"/>
      <c r="H17" s="2487" t="s">
        <v>296</v>
      </c>
      <c r="I17" s="2487"/>
      <c r="J17" s="2487"/>
      <c r="K17" s="2487"/>
      <c r="L17" s="2487"/>
      <c r="M17" s="2487"/>
      <c r="N17" s="2487"/>
      <c r="O17" s="2487"/>
      <c r="P17" s="2488">
        <v>0</v>
      </c>
      <c r="Q17" s="2489"/>
      <c r="R17" s="2489"/>
      <c r="S17" s="2489"/>
      <c r="T17" s="2284">
        <f>ROUND(IPMT(($AA$3%+0.35%)/11,1,$D$219-D16+1,$P$220-(SUM($P$4:P16)))*-1,2)</f>
        <v>25839.599999999999</v>
      </c>
      <c r="U17" s="2284"/>
      <c r="V17" s="2284"/>
      <c r="W17" s="2284"/>
      <c r="X17" s="774"/>
      <c r="Y17" s="772"/>
      <c r="Z17" s="772"/>
      <c r="AA17" s="774"/>
    </row>
    <row r="18" spans="1:27">
      <c r="A18" s="2280">
        <v>15</v>
      </c>
      <c r="B18" s="2483"/>
      <c r="C18" s="2483"/>
      <c r="D18" s="2487">
        <f t="shared" ref="D18:D27" si="1">$D$16</f>
        <v>2014</v>
      </c>
      <c r="E18" s="2487"/>
      <c r="F18" s="2487"/>
      <c r="G18" s="2487"/>
      <c r="H18" s="2487" t="s">
        <v>297</v>
      </c>
      <c r="I18" s="2487"/>
      <c r="J18" s="2487"/>
      <c r="K18" s="2487"/>
      <c r="L18" s="2487"/>
      <c r="M18" s="2487"/>
      <c r="N18" s="2487"/>
      <c r="O18" s="2487"/>
      <c r="P18" s="2488">
        <v>0</v>
      </c>
      <c r="Q18" s="2489"/>
      <c r="R18" s="2489"/>
      <c r="S18" s="2489"/>
      <c r="T18" s="2284">
        <f>ROUND(IPMT(($AA$3%+0.35%)/11,1,$D$219-$D$16+1,$P$220-(SUM($P$4:P17)))*-1,2)</f>
        <v>25839.599999999999</v>
      </c>
      <c r="U18" s="2284"/>
      <c r="V18" s="2284"/>
      <c r="W18" s="2284"/>
      <c r="X18" s="774"/>
      <c r="Y18" s="772"/>
      <c r="Z18" s="772"/>
      <c r="AA18" s="774"/>
    </row>
    <row r="19" spans="1:27">
      <c r="A19" s="2280">
        <v>16</v>
      </c>
      <c r="B19" s="2483"/>
      <c r="C19" s="2483"/>
      <c r="D19" s="2487">
        <f t="shared" si="1"/>
        <v>2014</v>
      </c>
      <c r="E19" s="2487"/>
      <c r="F19" s="2487"/>
      <c r="G19" s="2487"/>
      <c r="H19" s="2487" t="s">
        <v>298</v>
      </c>
      <c r="I19" s="2487"/>
      <c r="J19" s="2487"/>
      <c r="K19" s="2487"/>
      <c r="L19" s="2487"/>
      <c r="M19" s="2487"/>
      <c r="N19" s="2487"/>
      <c r="O19" s="2487"/>
      <c r="P19" s="2488">
        <v>0</v>
      </c>
      <c r="Q19" s="2489"/>
      <c r="R19" s="2489"/>
      <c r="S19" s="2489"/>
      <c r="T19" s="2284">
        <f>ROUND(IPMT(($AA$3%+0.35%)/11,1,$D$219-$D$16+1,$P$220-(SUM($P$4:P18)))*-1,2)</f>
        <v>25839.599999999999</v>
      </c>
      <c r="U19" s="2284"/>
      <c r="V19" s="2284"/>
      <c r="W19" s="2284"/>
      <c r="X19" s="774"/>
      <c r="Y19" s="772"/>
      <c r="Z19" s="772"/>
      <c r="AA19" s="774"/>
    </row>
    <row r="20" spans="1:27">
      <c r="A20" s="2280">
        <v>17</v>
      </c>
      <c r="B20" s="2483"/>
      <c r="C20" s="2483"/>
      <c r="D20" s="2487">
        <f t="shared" si="1"/>
        <v>2014</v>
      </c>
      <c r="E20" s="2487"/>
      <c r="F20" s="2487"/>
      <c r="G20" s="2487"/>
      <c r="H20" s="2487" t="s">
        <v>299</v>
      </c>
      <c r="I20" s="2487"/>
      <c r="J20" s="2487"/>
      <c r="K20" s="2487"/>
      <c r="L20" s="2487"/>
      <c r="M20" s="2487"/>
      <c r="N20" s="2487"/>
      <c r="O20" s="2487"/>
      <c r="P20" s="2488">
        <v>0</v>
      </c>
      <c r="Q20" s="2489"/>
      <c r="R20" s="2489"/>
      <c r="S20" s="2489"/>
      <c r="T20" s="2284">
        <f>ROUND(IPMT(($AA$3%+0.35%)/11,1,$D$219-$D$16+1,$P$220-(SUM($P$4:P19)))*-1,2)</f>
        <v>25839.599999999999</v>
      </c>
      <c r="U20" s="2284"/>
      <c r="V20" s="2284"/>
      <c r="W20" s="2284"/>
      <c r="X20" s="774"/>
      <c r="Y20" s="772"/>
      <c r="Z20" s="772"/>
      <c r="AA20" s="774"/>
    </row>
    <row r="21" spans="1:27">
      <c r="A21" s="2280">
        <v>18</v>
      </c>
      <c r="B21" s="2483"/>
      <c r="C21" s="2483"/>
      <c r="D21" s="2487">
        <f t="shared" si="1"/>
        <v>2014</v>
      </c>
      <c r="E21" s="2487"/>
      <c r="F21" s="2487"/>
      <c r="G21" s="2487"/>
      <c r="H21" s="2487" t="s">
        <v>300</v>
      </c>
      <c r="I21" s="2487"/>
      <c r="J21" s="2487"/>
      <c r="K21" s="2487"/>
      <c r="L21" s="2487"/>
      <c r="M21" s="2487"/>
      <c r="N21" s="2487"/>
      <c r="O21" s="2487"/>
      <c r="P21" s="2488">
        <v>0</v>
      </c>
      <c r="Q21" s="2489"/>
      <c r="R21" s="2489"/>
      <c r="S21" s="2489"/>
      <c r="T21" s="2284">
        <f>ROUND(IPMT(($AA$3%+0.35%)/11,1,$D$219-$D$16+1,$P$220-(SUM($P$4:P20)))*-1,2)</f>
        <v>25839.599999999999</v>
      </c>
      <c r="U21" s="2284"/>
      <c r="V21" s="2284"/>
      <c r="W21" s="2284"/>
      <c r="X21" s="774"/>
      <c r="Y21" s="772"/>
      <c r="Z21" s="772"/>
      <c r="AA21" s="774"/>
    </row>
    <row r="22" spans="1:27">
      <c r="A22" s="2280">
        <v>19</v>
      </c>
      <c r="B22" s="2483"/>
      <c r="C22" s="2483"/>
      <c r="D22" s="2487">
        <f t="shared" si="1"/>
        <v>2014</v>
      </c>
      <c r="E22" s="2487"/>
      <c r="F22" s="2487"/>
      <c r="G22" s="2487"/>
      <c r="H22" s="2487" t="s">
        <v>301</v>
      </c>
      <c r="I22" s="2487"/>
      <c r="J22" s="2487"/>
      <c r="K22" s="2487"/>
      <c r="L22" s="2487"/>
      <c r="M22" s="2487"/>
      <c r="N22" s="2487"/>
      <c r="O22" s="2487"/>
      <c r="P22" s="2488">
        <v>0</v>
      </c>
      <c r="Q22" s="2489"/>
      <c r="R22" s="2489"/>
      <c r="S22" s="2489"/>
      <c r="T22" s="2284">
        <f>ROUND(IPMT(($AA$3%+0.35%)/11,1,$D$219-$D$16+1,$P$220-(SUM($P$4:P21)))*-1,2)</f>
        <v>25839.599999999999</v>
      </c>
      <c r="U22" s="2284"/>
      <c r="V22" s="2284"/>
      <c r="W22" s="2284"/>
      <c r="X22" s="774"/>
      <c r="Y22" s="772"/>
      <c r="Z22" s="772"/>
      <c r="AA22" s="774"/>
    </row>
    <row r="23" spans="1:27">
      <c r="A23" s="2280">
        <v>20</v>
      </c>
      <c r="B23" s="2483"/>
      <c r="C23" s="2483"/>
      <c r="D23" s="2487">
        <f t="shared" si="1"/>
        <v>2014</v>
      </c>
      <c r="E23" s="2487"/>
      <c r="F23" s="2487"/>
      <c r="G23" s="2487"/>
      <c r="H23" s="2487" t="s">
        <v>302</v>
      </c>
      <c r="I23" s="2487"/>
      <c r="J23" s="2487"/>
      <c r="K23" s="2487"/>
      <c r="L23" s="2487"/>
      <c r="M23" s="2487"/>
      <c r="N23" s="2487"/>
      <c r="O23" s="2487"/>
      <c r="P23" s="2488">
        <v>0</v>
      </c>
      <c r="Q23" s="2489"/>
      <c r="R23" s="2489"/>
      <c r="S23" s="2489"/>
      <c r="T23" s="2284">
        <f>ROUND(IPMT(($AA$3%+0.35%)/11,1,$D$219-$D$16+1,$P$220-(SUM($P$4:P22)))*-1,2)</f>
        <v>25839.599999999999</v>
      </c>
      <c r="U23" s="2284"/>
      <c r="V23" s="2284"/>
      <c r="W23" s="2284"/>
      <c r="X23" s="774"/>
      <c r="Y23" s="772"/>
      <c r="Z23" s="772"/>
      <c r="AA23" s="774"/>
    </row>
    <row r="24" spans="1:27">
      <c r="A24" s="2280">
        <v>21</v>
      </c>
      <c r="B24" s="2483"/>
      <c r="C24" s="2483"/>
      <c r="D24" s="2487">
        <f t="shared" si="1"/>
        <v>2014</v>
      </c>
      <c r="E24" s="2487"/>
      <c r="F24" s="2487"/>
      <c r="G24" s="2487"/>
      <c r="H24" s="2487" t="s">
        <v>303</v>
      </c>
      <c r="I24" s="2487"/>
      <c r="J24" s="2487"/>
      <c r="K24" s="2487"/>
      <c r="L24" s="2487"/>
      <c r="M24" s="2487"/>
      <c r="N24" s="2487"/>
      <c r="O24" s="2487"/>
      <c r="P24" s="2488">
        <v>0</v>
      </c>
      <c r="Q24" s="2489"/>
      <c r="R24" s="2489"/>
      <c r="S24" s="2489"/>
      <c r="T24" s="2284">
        <f>ROUND(IPMT(($AA$3%+0.35%)/11,1,$D$219-$D$16+1,$P$220-(SUM($P$4:P23)))*-1,2)</f>
        <v>25839.599999999999</v>
      </c>
      <c r="U24" s="2284"/>
      <c r="V24" s="2284"/>
      <c r="W24" s="2284"/>
      <c r="X24" s="774"/>
      <c r="Y24" s="772"/>
      <c r="Z24" s="772"/>
      <c r="AA24" s="774"/>
    </row>
    <row r="25" spans="1:27">
      <c r="A25" s="2280">
        <v>22</v>
      </c>
      <c r="B25" s="2483"/>
      <c r="C25" s="2483"/>
      <c r="D25" s="2487">
        <f t="shared" si="1"/>
        <v>2014</v>
      </c>
      <c r="E25" s="2487"/>
      <c r="F25" s="2487"/>
      <c r="G25" s="2487"/>
      <c r="H25" s="2487" t="s">
        <v>304</v>
      </c>
      <c r="I25" s="2487"/>
      <c r="J25" s="2487"/>
      <c r="K25" s="2487"/>
      <c r="L25" s="2487"/>
      <c r="M25" s="2487"/>
      <c r="N25" s="2487"/>
      <c r="O25" s="2487"/>
      <c r="P25" s="2488">
        <v>0</v>
      </c>
      <c r="Q25" s="2489"/>
      <c r="R25" s="2489"/>
      <c r="S25" s="2489"/>
      <c r="T25" s="2284">
        <f>ROUND(IPMT(($AA$3%+0.35%)/11,1,$D$219-$D$16+1,$P$220-(SUM($P$4:P24)))*-1,2)</f>
        <v>25839.599999999999</v>
      </c>
      <c r="U25" s="2284"/>
      <c r="V25" s="2284"/>
      <c r="W25" s="2284"/>
      <c r="X25" s="774"/>
      <c r="Y25" s="772"/>
      <c r="Z25" s="772"/>
      <c r="AA25" s="774"/>
    </row>
    <row r="26" spans="1:27">
      <c r="A26" s="2280">
        <v>23</v>
      </c>
      <c r="B26" s="2483"/>
      <c r="C26" s="2483"/>
      <c r="D26" s="2487">
        <f t="shared" si="1"/>
        <v>2014</v>
      </c>
      <c r="E26" s="2487"/>
      <c r="F26" s="2487"/>
      <c r="G26" s="2487"/>
      <c r="H26" s="2487" t="s">
        <v>305</v>
      </c>
      <c r="I26" s="2487"/>
      <c r="J26" s="2487"/>
      <c r="K26" s="2487"/>
      <c r="L26" s="2487"/>
      <c r="M26" s="2487"/>
      <c r="N26" s="2487"/>
      <c r="O26" s="2487"/>
      <c r="P26" s="2488">
        <v>0</v>
      </c>
      <c r="Q26" s="2489"/>
      <c r="R26" s="2489"/>
      <c r="S26" s="2489"/>
      <c r="T26" s="2284">
        <f>ROUND(IPMT(($AA$3%+0.35%)/11,1,$D$219-$D$16+1,$P$220-(SUM($P$4:P25)))*-1,2)</f>
        <v>25839.599999999999</v>
      </c>
      <c r="U26" s="2284"/>
      <c r="V26" s="2284"/>
      <c r="W26" s="2284"/>
      <c r="X26" s="774"/>
      <c r="Y26" s="772"/>
      <c r="Z26" s="772"/>
      <c r="AA26" s="774"/>
    </row>
    <row r="27" spans="1:27">
      <c r="A27" s="2280">
        <v>24</v>
      </c>
      <c r="B27" s="2483"/>
      <c r="C27" s="2483"/>
      <c r="D27" s="2487">
        <f t="shared" si="1"/>
        <v>2014</v>
      </c>
      <c r="E27" s="2487"/>
      <c r="F27" s="2487"/>
      <c r="G27" s="2487"/>
      <c r="H27" s="2487" t="s">
        <v>306</v>
      </c>
      <c r="I27" s="2487"/>
      <c r="J27" s="2487"/>
      <c r="K27" s="2487"/>
      <c r="L27" s="2487"/>
      <c r="M27" s="2487"/>
      <c r="N27" s="2487"/>
      <c r="O27" s="2487"/>
      <c r="P27" s="2488">
        <v>0</v>
      </c>
      <c r="Q27" s="2489"/>
      <c r="R27" s="2489"/>
      <c r="S27" s="2489"/>
      <c r="T27" s="2284">
        <f>ROUND(IPMT(($AA$3%+0.35%)/11,1,$D$219-$D$16+1,$P$220-(SUM($P$4:P26)))*-1,2)</f>
        <v>25839.599999999999</v>
      </c>
      <c r="U27" s="2284"/>
      <c r="V27" s="2284"/>
      <c r="W27" s="2284"/>
      <c r="X27" s="774"/>
      <c r="Y27" s="2494">
        <f>SUM(T16:W27)</f>
        <v>310075.2</v>
      </c>
      <c r="Z27" s="2495"/>
      <c r="AA27" s="774"/>
    </row>
    <row r="28" spans="1:27">
      <c r="A28" s="2496">
        <v>25</v>
      </c>
      <c r="B28" s="2497"/>
      <c r="C28" s="2497"/>
      <c r="D28" s="2498">
        <f>D16+1</f>
        <v>2015</v>
      </c>
      <c r="E28" s="2498"/>
      <c r="F28" s="2498"/>
      <c r="G28" s="2498"/>
      <c r="H28" s="2498" t="s">
        <v>295</v>
      </c>
      <c r="I28" s="2498"/>
      <c r="J28" s="2498"/>
      <c r="K28" s="2498"/>
      <c r="L28" s="2498"/>
      <c r="M28" s="2498"/>
      <c r="N28" s="2498"/>
      <c r="O28" s="2498"/>
      <c r="P28" s="2499">
        <v>0</v>
      </c>
      <c r="Q28" s="2500"/>
      <c r="R28" s="2500"/>
      <c r="S28" s="2500"/>
      <c r="T28" s="2501">
        <f>ROUND(IPMT(($AA$3%+0.35%)/11,1,$D$219-$D$16+1,$P$220-(SUM($P$4:P27)))*-1,2)</f>
        <v>25839.599999999999</v>
      </c>
      <c r="U28" s="2501"/>
      <c r="V28" s="2501"/>
      <c r="W28" s="2501"/>
      <c r="X28" s="774"/>
      <c r="Y28" s="772"/>
      <c r="Z28" s="772"/>
      <c r="AA28" s="774"/>
    </row>
    <row r="29" spans="1:27">
      <c r="A29" s="2280">
        <v>26</v>
      </c>
      <c r="B29" s="2483"/>
      <c r="C29" s="2483"/>
      <c r="D29" s="2487">
        <f>$D$28</f>
        <v>2015</v>
      </c>
      <c r="E29" s="2487"/>
      <c r="F29" s="2487"/>
      <c r="G29" s="2487"/>
      <c r="H29" s="2487" t="s">
        <v>296</v>
      </c>
      <c r="I29" s="2487"/>
      <c r="J29" s="2487"/>
      <c r="K29" s="2487"/>
      <c r="L29" s="2487"/>
      <c r="M29" s="2487"/>
      <c r="N29" s="2487"/>
      <c r="O29" s="2487"/>
      <c r="P29" s="2488">
        <v>0</v>
      </c>
      <c r="Q29" s="2489"/>
      <c r="R29" s="2489"/>
      <c r="S29" s="2489"/>
      <c r="T29" s="2284">
        <f>ROUND(IPMT(($AA$3%+0.35%)/11,1,$D$219-$D$28+1,$P$220-(SUM($P$4:P28)))*-1,2)</f>
        <v>25839.599999999999</v>
      </c>
      <c r="U29" s="2284"/>
      <c r="V29" s="2284"/>
      <c r="W29" s="2284"/>
      <c r="X29" s="774"/>
      <c r="Y29" s="772"/>
      <c r="Z29" s="772"/>
      <c r="AA29" s="774"/>
    </row>
    <row r="30" spans="1:27">
      <c r="A30" s="2280">
        <v>27</v>
      </c>
      <c r="B30" s="2483"/>
      <c r="C30" s="2483"/>
      <c r="D30" s="2487">
        <f t="shared" ref="D30:D39" si="2">$D$28</f>
        <v>2015</v>
      </c>
      <c r="E30" s="2487"/>
      <c r="F30" s="2487"/>
      <c r="G30" s="2487"/>
      <c r="H30" s="2487" t="s">
        <v>297</v>
      </c>
      <c r="I30" s="2487"/>
      <c r="J30" s="2487"/>
      <c r="K30" s="2487"/>
      <c r="L30" s="2487"/>
      <c r="M30" s="2487"/>
      <c r="N30" s="2487"/>
      <c r="O30" s="2487"/>
      <c r="P30" s="2488">
        <v>0</v>
      </c>
      <c r="Q30" s="2489"/>
      <c r="R30" s="2489"/>
      <c r="S30" s="2489"/>
      <c r="T30" s="2284">
        <f>ROUND(IPMT(($AA$3%+0.35%)/11,1,$D$219-$D$28+1,$P$220-(SUM($P$4:P29)))*-1,2)</f>
        <v>25839.599999999999</v>
      </c>
      <c r="U30" s="2284"/>
      <c r="V30" s="2284"/>
      <c r="W30" s="2284"/>
      <c r="X30" s="774"/>
      <c r="Y30" s="772"/>
      <c r="Z30" s="772"/>
      <c r="AA30" s="774"/>
    </row>
    <row r="31" spans="1:27">
      <c r="A31" s="2280">
        <v>28</v>
      </c>
      <c r="B31" s="2483"/>
      <c r="C31" s="2483"/>
      <c r="D31" s="2487">
        <f t="shared" si="2"/>
        <v>2015</v>
      </c>
      <c r="E31" s="2487"/>
      <c r="F31" s="2487"/>
      <c r="G31" s="2487"/>
      <c r="H31" s="2487" t="s">
        <v>298</v>
      </c>
      <c r="I31" s="2487"/>
      <c r="J31" s="2487"/>
      <c r="K31" s="2487"/>
      <c r="L31" s="2487"/>
      <c r="M31" s="2487"/>
      <c r="N31" s="2487"/>
      <c r="O31" s="2487"/>
      <c r="P31" s="2488">
        <v>0</v>
      </c>
      <c r="Q31" s="2489"/>
      <c r="R31" s="2489"/>
      <c r="S31" s="2489"/>
      <c r="T31" s="2284">
        <f>ROUND(IPMT(($AA$3%+0.35%)/11,1,$D$219-$D$28+1,$P$220-(SUM($P$4:P30)))*-1,2)</f>
        <v>25839.599999999999</v>
      </c>
      <c r="U31" s="2284"/>
      <c r="V31" s="2284"/>
      <c r="W31" s="2284"/>
      <c r="X31" s="774"/>
      <c r="Y31" s="772"/>
      <c r="Z31" s="772"/>
      <c r="AA31" s="774"/>
    </row>
    <row r="32" spans="1:27">
      <c r="A32" s="2280">
        <v>29</v>
      </c>
      <c r="B32" s="2483"/>
      <c r="C32" s="2483"/>
      <c r="D32" s="2487">
        <f t="shared" si="2"/>
        <v>2015</v>
      </c>
      <c r="E32" s="2487"/>
      <c r="F32" s="2487"/>
      <c r="G32" s="2487"/>
      <c r="H32" s="2487" t="s">
        <v>299</v>
      </c>
      <c r="I32" s="2487"/>
      <c r="J32" s="2487"/>
      <c r="K32" s="2487"/>
      <c r="L32" s="2487"/>
      <c r="M32" s="2487"/>
      <c r="N32" s="2487"/>
      <c r="O32" s="2487"/>
      <c r="P32" s="2488">
        <v>0</v>
      </c>
      <c r="Q32" s="2489"/>
      <c r="R32" s="2489"/>
      <c r="S32" s="2489"/>
      <c r="T32" s="2284">
        <f>ROUND(IPMT(($AA$3%+0.35%)/11,1,$D$219-$D$28+1,$P$220-(SUM($P$4:P31)))*-1,2)</f>
        <v>25839.599999999999</v>
      </c>
      <c r="U32" s="2284"/>
      <c r="V32" s="2284"/>
      <c r="W32" s="2284"/>
      <c r="X32" s="774"/>
      <c r="Y32" s="772"/>
      <c r="Z32" s="772"/>
      <c r="AA32" s="774"/>
    </row>
    <row r="33" spans="1:27">
      <c r="A33" s="2280">
        <v>30</v>
      </c>
      <c r="B33" s="2483"/>
      <c r="C33" s="2483"/>
      <c r="D33" s="2487">
        <f t="shared" si="2"/>
        <v>2015</v>
      </c>
      <c r="E33" s="2487"/>
      <c r="F33" s="2487"/>
      <c r="G33" s="2487"/>
      <c r="H33" s="2487" t="s">
        <v>300</v>
      </c>
      <c r="I33" s="2487"/>
      <c r="J33" s="2487"/>
      <c r="K33" s="2487"/>
      <c r="L33" s="2487"/>
      <c r="M33" s="2487"/>
      <c r="N33" s="2487"/>
      <c r="O33" s="2487"/>
      <c r="P33" s="2488">
        <v>0</v>
      </c>
      <c r="Q33" s="2489"/>
      <c r="R33" s="2489"/>
      <c r="S33" s="2489"/>
      <c r="T33" s="2284">
        <f>ROUND(IPMT(($AA$3%+0.35%)/11,1,$D$219-$D$28+1,$P$220-(SUM($P$4:P32)))*-1,2)</f>
        <v>25839.599999999999</v>
      </c>
      <c r="U33" s="2284"/>
      <c r="V33" s="2284"/>
      <c r="W33" s="2284"/>
      <c r="X33" s="774"/>
      <c r="Y33" s="772"/>
      <c r="Z33" s="772"/>
      <c r="AA33" s="774"/>
    </row>
    <row r="34" spans="1:27">
      <c r="A34" s="2280">
        <v>31</v>
      </c>
      <c r="B34" s="2483"/>
      <c r="C34" s="2483"/>
      <c r="D34" s="2487">
        <f t="shared" si="2"/>
        <v>2015</v>
      </c>
      <c r="E34" s="2487"/>
      <c r="F34" s="2487"/>
      <c r="G34" s="2487"/>
      <c r="H34" s="2487" t="s">
        <v>301</v>
      </c>
      <c r="I34" s="2487"/>
      <c r="J34" s="2487"/>
      <c r="K34" s="2487"/>
      <c r="L34" s="2487"/>
      <c r="M34" s="2487"/>
      <c r="N34" s="2487"/>
      <c r="O34" s="2487"/>
      <c r="P34" s="2488">
        <v>24482</v>
      </c>
      <c r="Q34" s="2489"/>
      <c r="R34" s="2489"/>
      <c r="S34" s="2489"/>
      <c r="T34" s="2284">
        <f>ROUND(IPMT(($AA$3%+0.35%)/11,1,$D$219-$D$28+1,$P$220-(SUM($P$4:P33)))*-1,2)</f>
        <v>25839.599999999999</v>
      </c>
      <c r="U34" s="2284"/>
      <c r="V34" s="2284"/>
      <c r="W34" s="2284"/>
      <c r="X34" s="774"/>
      <c r="Y34" s="772"/>
      <c r="Z34" s="772"/>
      <c r="AA34" s="774"/>
    </row>
    <row r="35" spans="1:27">
      <c r="A35" s="2280">
        <v>32</v>
      </c>
      <c r="B35" s="2483"/>
      <c r="C35" s="2483"/>
      <c r="D35" s="2487">
        <f t="shared" si="2"/>
        <v>2015</v>
      </c>
      <c r="E35" s="2487"/>
      <c r="F35" s="2487"/>
      <c r="G35" s="2487"/>
      <c r="H35" s="2487" t="s">
        <v>302</v>
      </c>
      <c r="I35" s="2487"/>
      <c r="J35" s="2487"/>
      <c r="K35" s="2487"/>
      <c r="L35" s="2487"/>
      <c r="M35" s="2487"/>
      <c r="N35" s="2487"/>
      <c r="O35" s="2487"/>
      <c r="P35" s="2488">
        <v>24482</v>
      </c>
      <c r="Q35" s="2489"/>
      <c r="R35" s="2489"/>
      <c r="S35" s="2489"/>
      <c r="T35" s="2284">
        <f>ROUND(IPMT(($AA$3%+0.35%)/11,1,$D$219-$D$28+1,$P$220-(SUM($P$4:P34)))*-1,2)</f>
        <v>25696.04</v>
      </c>
      <c r="U35" s="2284"/>
      <c r="V35" s="2284"/>
      <c r="W35" s="2284"/>
      <c r="X35" s="774"/>
      <c r="Y35" s="772"/>
      <c r="Z35" s="772"/>
      <c r="AA35" s="774"/>
    </row>
    <row r="36" spans="1:27">
      <c r="A36" s="2280">
        <v>33</v>
      </c>
      <c r="B36" s="2483"/>
      <c r="C36" s="2483"/>
      <c r="D36" s="2487">
        <f t="shared" si="2"/>
        <v>2015</v>
      </c>
      <c r="E36" s="2487"/>
      <c r="F36" s="2487"/>
      <c r="G36" s="2487"/>
      <c r="H36" s="2487" t="s">
        <v>303</v>
      </c>
      <c r="I36" s="2487"/>
      <c r="J36" s="2487"/>
      <c r="K36" s="2487"/>
      <c r="L36" s="2487"/>
      <c r="M36" s="2487"/>
      <c r="N36" s="2487"/>
      <c r="O36" s="2487"/>
      <c r="P36" s="2488">
        <v>24482</v>
      </c>
      <c r="Q36" s="2489"/>
      <c r="R36" s="2489"/>
      <c r="S36" s="2489"/>
      <c r="T36" s="2284">
        <f>ROUND(IPMT(($AA$3%+0.35%)/11,1,$D$219-$D$28+1,$P$220-(SUM($P$4:P35)))*-1,2)</f>
        <v>25552.49</v>
      </c>
      <c r="U36" s="2284"/>
      <c r="V36" s="2284"/>
      <c r="W36" s="2284"/>
      <c r="X36" s="774"/>
      <c r="Y36" s="772"/>
      <c r="Z36" s="772"/>
      <c r="AA36" s="774"/>
    </row>
    <row r="37" spans="1:27">
      <c r="A37" s="2280">
        <v>34</v>
      </c>
      <c r="B37" s="2483"/>
      <c r="C37" s="2483"/>
      <c r="D37" s="2487">
        <f t="shared" si="2"/>
        <v>2015</v>
      </c>
      <c r="E37" s="2487"/>
      <c r="F37" s="2487"/>
      <c r="G37" s="2487"/>
      <c r="H37" s="2487" t="s">
        <v>304</v>
      </c>
      <c r="I37" s="2487"/>
      <c r="J37" s="2487"/>
      <c r="K37" s="2487"/>
      <c r="L37" s="2487"/>
      <c r="M37" s="2487"/>
      <c r="N37" s="2487"/>
      <c r="O37" s="2487"/>
      <c r="P37" s="2488">
        <v>24482</v>
      </c>
      <c r="Q37" s="2489"/>
      <c r="R37" s="2489"/>
      <c r="S37" s="2489"/>
      <c r="T37" s="2284">
        <f>ROUND(IPMT(($AA$3%+0.35%)/11,1,$D$219-$D$28+1,$P$220-(SUM($P$4:P36)))*-1,2)</f>
        <v>25408.94</v>
      </c>
      <c r="U37" s="2284"/>
      <c r="V37" s="2284"/>
      <c r="W37" s="2284"/>
      <c r="X37" s="774"/>
      <c r="Y37" s="772"/>
      <c r="Z37" s="772"/>
      <c r="AA37" s="774"/>
    </row>
    <row r="38" spans="1:27">
      <c r="A38" s="2280">
        <v>35</v>
      </c>
      <c r="B38" s="2483"/>
      <c r="C38" s="2483"/>
      <c r="D38" s="2487">
        <f t="shared" si="2"/>
        <v>2015</v>
      </c>
      <c r="E38" s="2487"/>
      <c r="F38" s="2487"/>
      <c r="G38" s="2487"/>
      <c r="H38" s="2487" t="s">
        <v>305</v>
      </c>
      <c r="I38" s="2487"/>
      <c r="J38" s="2487"/>
      <c r="K38" s="2487"/>
      <c r="L38" s="2487"/>
      <c r="M38" s="2487"/>
      <c r="N38" s="2487"/>
      <c r="O38" s="2487"/>
      <c r="P38" s="2488">
        <v>24482</v>
      </c>
      <c r="Q38" s="2489"/>
      <c r="R38" s="2489"/>
      <c r="S38" s="2489"/>
      <c r="T38" s="2284">
        <f>ROUND(IPMT(($AA$3%+0.35%)/11,1,$D$219-$D$28+1,$P$220-(SUM($P$4:P37)))*-1,2)</f>
        <v>25265.38</v>
      </c>
      <c r="U38" s="2284"/>
      <c r="V38" s="2284"/>
      <c r="W38" s="2284"/>
      <c r="X38" s="774"/>
      <c r="Y38" s="772"/>
      <c r="Z38" s="772"/>
      <c r="AA38" s="774"/>
    </row>
    <row r="39" spans="1:27">
      <c r="A39" s="2280">
        <v>36</v>
      </c>
      <c r="B39" s="2483"/>
      <c r="C39" s="2483"/>
      <c r="D39" s="2487">
        <f t="shared" si="2"/>
        <v>2015</v>
      </c>
      <c r="E39" s="2487"/>
      <c r="F39" s="2487"/>
      <c r="G39" s="2487"/>
      <c r="H39" s="2487" t="s">
        <v>306</v>
      </c>
      <c r="I39" s="2487"/>
      <c r="J39" s="2487"/>
      <c r="K39" s="2487"/>
      <c r="L39" s="2487"/>
      <c r="M39" s="2487"/>
      <c r="N39" s="2487"/>
      <c r="O39" s="2487"/>
      <c r="P39" s="2488">
        <v>24482</v>
      </c>
      <c r="Q39" s="2489"/>
      <c r="R39" s="2489"/>
      <c r="S39" s="2489"/>
      <c r="T39" s="2284">
        <f>ROUND(IPMT(($AA$3%+0.35%)/11,1,$D$219-$D$28+1,$P$220-(SUM($P$4:P38)))*-1,2)</f>
        <v>25121.83</v>
      </c>
      <c r="U39" s="2284"/>
      <c r="V39" s="2284"/>
      <c r="W39" s="2284"/>
      <c r="X39" s="774"/>
      <c r="Y39" s="2494">
        <f>SUM(T28:W39)</f>
        <v>307921.88</v>
      </c>
      <c r="Z39" s="2495"/>
      <c r="AA39" s="774"/>
    </row>
    <row r="40" spans="1:27">
      <c r="A40" s="2496">
        <v>37</v>
      </c>
      <c r="B40" s="2497"/>
      <c r="C40" s="2497"/>
      <c r="D40" s="2498">
        <f>D28+1</f>
        <v>2016</v>
      </c>
      <c r="E40" s="2498"/>
      <c r="F40" s="2498"/>
      <c r="G40" s="2498"/>
      <c r="H40" s="2498" t="s">
        <v>295</v>
      </c>
      <c r="I40" s="2498"/>
      <c r="J40" s="2498"/>
      <c r="K40" s="2498"/>
      <c r="L40" s="2498"/>
      <c r="M40" s="2498"/>
      <c r="N40" s="2498"/>
      <c r="O40" s="2498"/>
      <c r="P40" s="2488">
        <v>24482</v>
      </c>
      <c r="Q40" s="2489"/>
      <c r="R40" s="2489"/>
      <c r="S40" s="2489"/>
      <c r="T40" s="2501">
        <f>ROUND(IPMT(($AA$3%+0.35%)/11,1,$D$219-$D$28+1,$P$220-(SUM($P$4:P39)))*-1,2)</f>
        <v>24978.28</v>
      </c>
      <c r="U40" s="2501"/>
      <c r="V40" s="2501"/>
      <c r="W40" s="2501"/>
      <c r="X40" s="774"/>
      <c r="Y40" s="772"/>
      <c r="Z40" s="772"/>
      <c r="AA40" s="774"/>
    </row>
    <row r="41" spans="1:27">
      <c r="A41" s="2280">
        <v>38</v>
      </c>
      <c r="B41" s="2483"/>
      <c r="C41" s="2483"/>
      <c r="D41" s="2487">
        <f>$D$40</f>
        <v>2016</v>
      </c>
      <c r="E41" s="2487"/>
      <c r="F41" s="2487"/>
      <c r="G41" s="2487"/>
      <c r="H41" s="2487" t="s">
        <v>296</v>
      </c>
      <c r="I41" s="2487"/>
      <c r="J41" s="2487"/>
      <c r="K41" s="2487"/>
      <c r="L41" s="2487"/>
      <c r="M41" s="2487"/>
      <c r="N41" s="2487"/>
      <c r="O41" s="2487"/>
      <c r="P41" s="2488">
        <v>24482</v>
      </c>
      <c r="Q41" s="2489"/>
      <c r="R41" s="2489"/>
      <c r="S41" s="2489"/>
      <c r="T41" s="2284">
        <f>ROUND(IPMT(($AA$3%+0.35%)/11,1,$D$219-$D$40+1,$P$220-(SUM($P$4:P40)))*-1,2)</f>
        <v>24834.720000000001</v>
      </c>
      <c r="U41" s="2284"/>
      <c r="V41" s="2284"/>
      <c r="W41" s="2284"/>
      <c r="X41" s="774"/>
      <c r="Y41" s="772"/>
      <c r="Z41" s="772"/>
      <c r="AA41" s="774"/>
    </row>
    <row r="42" spans="1:27">
      <c r="A42" s="2280">
        <v>39</v>
      </c>
      <c r="B42" s="2483"/>
      <c r="C42" s="2483"/>
      <c r="D42" s="2487">
        <f t="shared" ref="D42:D51" si="3">$D$40</f>
        <v>2016</v>
      </c>
      <c r="E42" s="2487"/>
      <c r="F42" s="2487"/>
      <c r="G42" s="2487"/>
      <c r="H42" s="2487" t="s">
        <v>297</v>
      </c>
      <c r="I42" s="2487"/>
      <c r="J42" s="2487"/>
      <c r="K42" s="2487"/>
      <c r="L42" s="2487"/>
      <c r="M42" s="2487"/>
      <c r="N42" s="2487"/>
      <c r="O42" s="2487"/>
      <c r="P42" s="2488">
        <v>24482</v>
      </c>
      <c r="Q42" s="2489"/>
      <c r="R42" s="2489"/>
      <c r="S42" s="2489"/>
      <c r="T42" s="2284">
        <f>ROUND(IPMT(($AA$3%+0.35%)/11,1,$D$219-$D$40+1,$P$220-(SUM($P$4:P41)))*-1,2)</f>
        <v>24691.17</v>
      </c>
      <c r="U42" s="2284"/>
      <c r="V42" s="2284"/>
      <c r="W42" s="2284"/>
      <c r="X42" s="774"/>
      <c r="Y42" s="772"/>
      <c r="Z42" s="772"/>
      <c r="AA42" s="774"/>
    </row>
    <row r="43" spans="1:27">
      <c r="A43" s="2280">
        <v>40</v>
      </c>
      <c r="B43" s="2483"/>
      <c r="C43" s="2483"/>
      <c r="D43" s="2487">
        <f t="shared" si="3"/>
        <v>2016</v>
      </c>
      <c r="E43" s="2487"/>
      <c r="F43" s="2487"/>
      <c r="G43" s="2487"/>
      <c r="H43" s="2487" t="s">
        <v>298</v>
      </c>
      <c r="I43" s="2487"/>
      <c r="J43" s="2487"/>
      <c r="K43" s="2487"/>
      <c r="L43" s="2487"/>
      <c r="M43" s="2487"/>
      <c r="N43" s="2487"/>
      <c r="O43" s="2487"/>
      <c r="P43" s="2488">
        <v>24482</v>
      </c>
      <c r="Q43" s="2489"/>
      <c r="R43" s="2489"/>
      <c r="S43" s="2489"/>
      <c r="T43" s="2284">
        <f>ROUND(IPMT(($AA$3%+0.35%)/11,1,$D$219-$D$40+1,$P$220-(SUM($P$4:P42)))*-1,2)</f>
        <v>24547.62</v>
      </c>
      <c r="U43" s="2284"/>
      <c r="V43" s="2284"/>
      <c r="W43" s="2284"/>
      <c r="X43" s="774"/>
      <c r="Y43" s="772"/>
      <c r="Z43" s="772"/>
      <c r="AA43" s="774"/>
    </row>
    <row r="44" spans="1:27">
      <c r="A44" s="2280">
        <v>41</v>
      </c>
      <c r="B44" s="2483"/>
      <c r="C44" s="2483"/>
      <c r="D44" s="2487">
        <f t="shared" si="3"/>
        <v>2016</v>
      </c>
      <c r="E44" s="2487"/>
      <c r="F44" s="2487"/>
      <c r="G44" s="2487"/>
      <c r="H44" s="2487" t="s">
        <v>299</v>
      </c>
      <c r="I44" s="2487"/>
      <c r="J44" s="2487"/>
      <c r="K44" s="2487"/>
      <c r="L44" s="2487"/>
      <c r="M44" s="2487"/>
      <c r="N44" s="2487"/>
      <c r="O44" s="2487"/>
      <c r="P44" s="2488">
        <v>24482</v>
      </c>
      <c r="Q44" s="2489"/>
      <c r="R44" s="2489"/>
      <c r="S44" s="2489"/>
      <c r="T44" s="2284">
        <f>ROUND(IPMT(($AA$3%+0.35%)/11,1,$D$219-$D$40+1,$P$220-(SUM($P$4:P43)))*-1,2)</f>
        <v>24404.06</v>
      </c>
      <c r="U44" s="2284"/>
      <c r="V44" s="2284"/>
      <c r="W44" s="2284"/>
      <c r="X44" s="774"/>
      <c r="Y44" s="772"/>
      <c r="Z44" s="772"/>
      <c r="AA44" s="774"/>
    </row>
    <row r="45" spans="1:27">
      <c r="A45" s="2280">
        <v>42</v>
      </c>
      <c r="B45" s="2483"/>
      <c r="C45" s="2483"/>
      <c r="D45" s="2487">
        <f t="shared" si="3"/>
        <v>2016</v>
      </c>
      <c r="E45" s="2487"/>
      <c r="F45" s="2487"/>
      <c r="G45" s="2487"/>
      <c r="H45" s="2487" t="s">
        <v>300</v>
      </c>
      <c r="I45" s="2487"/>
      <c r="J45" s="2487"/>
      <c r="K45" s="2487"/>
      <c r="L45" s="2487"/>
      <c r="M45" s="2487"/>
      <c r="N45" s="2487"/>
      <c r="O45" s="2487"/>
      <c r="P45" s="2488">
        <v>24482</v>
      </c>
      <c r="Q45" s="2489"/>
      <c r="R45" s="2489"/>
      <c r="S45" s="2489"/>
      <c r="T45" s="2284">
        <f>ROUND(IPMT(($AA$3%+0.35%)/11,1,$D$219-$D$40+1,$P$220-(SUM($P$4:P44)))*-1,2)</f>
        <v>24260.51</v>
      </c>
      <c r="U45" s="2284"/>
      <c r="V45" s="2284"/>
      <c r="W45" s="2284"/>
      <c r="X45" s="774"/>
      <c r="Y45" s="772"/>
      <c r="Z45" s="772"/>
      <c r="AA45" s="774"/>
    </row>
    <row r="46" spans="1:27">
      <c r="A46" s="2280">
        <v>43</v>
      </c>
      <c r="B46" s="2483"/>
      <c r="C46" s="2483"/>
      <c r="D46" s="2487">
        <f t="shared" si="3"/>
        <v>2016</v>
      </c>
      <c r="E46" s="2487"/>
      <c r="F46" s="2487"/>
      <c r="G46" s="2487"/>
      <c r="H46" s="2487" t="s">
        <v>301</v>
      </c>
      <c r="I46" s="2487"/>
      <c r="J46" s="2487"/>
      <c r="K46" s="2487"/>
      <c r="L46" s="2487"/>
      <c r="M46" s="2487"/>
      <c r="N46" s="2487"/>
      <c r="O46" s="2487"/>
      <c r="P46" s="2488">
        <v>24482</v>
      </c>
      <c r="Q46" s="2489"/>
      <c r="R46" s="2489"/>
      <c r="S46" s="2489"/>
      <c r="T46" s="2284">
        <f>ROUND(IPMT(($AA$3%+0.35%)/11,1,$D$219-$D$40+1,$P$220-(SUM($P$4:P45)))*-1,2)</f>
        <v>24116.95</v>
      </c>
      <c r="U46" s="2284"/>
      <c r="V46" s="2284"/>
      <c r="W46" s="2284"/>
      <c r="X46" s="774"/>
      <c r="Y46" s="772"/>
      <c r="Z46" s="772"/>
      <c r="AA46" s="774"/>
    </row>
    <row r="47" spans="1:27">
      <c r="A47" s="2280">
        <v>44</v>
      </c>
      <c r="B47" s="2483"/>
      <c r="C47" s="2483"/>
      <c r="D47" s="2487">
        <f t="shared" si="3"/>
        <v>2016</v>
      </c>
      <c r="E47" s="2487"/>
      <c r="F47" s="2487"/>
      <c r="G47" s="2487"/>
      <c r="H47" s="2487" t="s">
        <v>302</v>
      </c>
      <c r="I47" s="2487"/>
      <c r="J47" s="2487"/>
      <c r="K47" s="2487"/>
      <c r="L47" s="2487"/>
      <c r="M47" s="2487"/>
      <c r="N47" s="2487"/>
      <c r="O47" s="2487"/>
      <c r="P47" s="2488">
        <v>24482</v>
      </c>
      <c r="Q47" s="2489"/>
      <c r="R47" s="2489"/>
      <c r="S47" s="2489"/>
      <c r="T47" s="2284">
        <f>ROUND(IPMT(($AA$3%+0.35%)/11,1,$D$219-$D$40+1,$P$220-(SUM($P$4:P46)))*-1,2)</f>
        <v>23973.4</v>
      </c>
      <c r="U47" s="2284"/>
      <c r="V47" s="2284"/>
      <c r="W47" s="2284"/>
      <c r="X47" s="774"/>
      <c r="Y47" s="772"/>
      <c r="Z47" s="772"/>
      <c r="AA47" s="774"/>
    </row>
    <row r="48" spans="1:27">
      <c r="A48" s="2280">
        <v>45</v>
      </c>
      <c r="B48" s="2483"/>
      <c r="C48" s="2483"/>
      <c r="D48" s="2487">
        <f t="shared" si="3"/>
        <v>2016</v>
      </c>
      <c r="E48" s="2487"/>
      <c r="F48" s="2487"/>
      <c r="G48" s="2487"/>
      <c r="H48" s="2487" t="s">
        <v>303</v>
      </c>
      <c r="I48" s="2487"/>
      <c r="J48" s="2487"/>
      <c r="K48" s="2487"/>
      <c r="L48" s="2487"/>
      <c r="M48" s="2487"/>
      <c r="N48" s="2487"/>
      <c r="O48" s="2487"/>
      <c r="P48" s="2488">
        <v>24482</v>
      </c>
      <c r="Q48" s="2489"/>
      <c r="R48" s="2489"/>
      <c r="S48" s="2489"/>
      <c r="T48" s="2284">
        <f>ROUND(IPMT(($AA$3%+0.35%)/11,1,$D$219-$D$40+1,$P$220-(SUM($P$4:P47)))*-1,2)</f>
        <v>23829.85</v>
      </c>
      <c r="U48" s="2284"/>
      <c r="V48" s="2284"/>
      <c r="W48" s="2284"/>
      <c r="X48" s="774"/>
      <c r="Y48" s="772"/>
      <c r="Z48" s="772"/>
      <c r="AA48" s="774"/>
    </row>
    <row r="49" spans="1:27">
      <c r="A49" s="2280">
        <v>46</v>
      </c>
      <c r="B49" s="2483"/>
      <c r="C49" s="2483"/>
      <c r="D49" s="2487">
        <f t="shared" si="3"/>
        <v>2016</v>
      </c>
      <c r="E49" s="2487"/>
      <c r="F49" s="2487"/>
      <c r="G49" s="2487"/>
      <c r="H49" s="2487" t="s">
        <v>304</v>
      </c>
      <c r="I49" s="2487"/>
      <c r="J49" s="2487"/>
      <c r="K49" s="2487"/>
      <c r="L49" s="2487"/>
      <c r="M49" s="2487"/>
      <c r="N49" s="2487"/>
      <c r="O49" s="2487"/>
      <c r="P49" s="2488">
        <v>24482</v>
      </c>
      <c r="Q49" s="2489"/>
      <c r="R49" s="2489"/>
      <c r="S49" s="2489"/>
      <c r="T49" s="2284">
        <f>ROUND(IPMT(($AA$3%+0.35%)/11,1,$D$219-$D$40+1,$P$220-(SUM($P$4:P48)))*-1,2)</f>
        <v>23686.29</v>
      </c>
      <c r="U49" s="2284"/>
      <c r="V49" s="2284"/>
      <c r="W49" s="2284"/>
      <c r="X49" s="774"/>
      <c r="Y49" s="772"/>
      <c r="Z49" s="772"/>
      <c r="AA49" s="774"/>
    </row>
    <row r="50" spans="1:27">
      <c r="A50" s="2280">
        <v>47</v>
      </c>
      <c r="B50" s="2483"/>
      <c r="C50" s="2483"/>
      <c r="D50" s="2487">
        <f t="shared" si="3"/>
        <v>2016</v>
      </c>
      <c r="E50" s="2487"/>
      <c r="F50" s="2487"/>
      <c r="G50" s="2487"/>
      <c r="H50" s="2487" t="s">
        <v>305</v>
      </c>
      <c r="I50" s="2487"/>
      <c r="J50" s="2487"/>
      <c r="K50" s="2487"/>
      <c r="L50" s="2487"/>
      <c r="M50" s="2487"/>
      <c r="N50" s="2487"/>
      <c r="O50" s="2487"/>
      <c r="P50" s="2488">
        <v>24482</v>
      </c>
      <c r="Q50" s="2489"/>
      <c r="R50" s="2489"/>
      <c r="S50" s="2489"/>
      <c r="T50" s="2284">
        <f>ROUND(IPMT(($AA$3%+0.35%)/11,1,$D$219-$D$40+1,$P$220-(SUM($P$4:P49)))*-1,2)</f>
        <v>23542.74</v>
      </c>
      <c r="U50" s="2284"/>
      <c r="V50" s="2284"/>
      <c r="W50" s="2284"/>
      <c r="X50" s="774"/>
      <c r="Y50" s="772"/>
      <c r="Z50" s="772"/>
      <c r="AA50" s="774"/>
    </row>
    <row r="51" spans="1:27">
      <c r="A51" s="2280">
        <v>48</v>
      </c>
      <c r="B51" s="2483"/>
      <c r="C51" s="2483"/>
      <c r="D51" s="2487">
        <f t="shared" si="3"/>
        <v>2016</v>
      </c>
      <c r="E51" s="2487"/>
      <c r="F51" s="2487"/>
      <c r="G51" s="2487"/>
      <c r="H51" s="2487" t="s">
        <v>306</v>
      </c>
      <c r="I51" s="2487"/>
      <c r="J51" s="2487"/>
      <c r="K51" s="2487"/>
      <c r="L51" s="2487"/>
      <c r="M51" s="2487"/>
      <c r="N51" s="2487"/>
      <c r="O51" s="2487"/>
      <c r="P51" s="2488">
        <v>24482</v>
      </c>
      <c r="Q51" s="2489"/>
      <c r="R51" s="2489"/>
      <c r="S51" s="2489"/>
      <c r="T51" s="2284">
        <f>ROUND(IPMT(($AA$3%+0.35%)/11,1,$D$219-$D$40+1,$P$220-(SUM($P$4:P50)))*-1,2)</f>
        <v>23399.19</v>
      </c>
      <c r="U51" s="2284"/>
      <c r="V51" s="2284"/>
      <c r="W51" s="2284"/>
      <c r="X51" s="774"/>
      <c r="Y51" s="2494">
        <f>SUM(T40:W51)</f>
        <v>290264.78000000003</v>
      </c>
      <c r="Z51" s="2495"/>
      <c r="AA51" s="774"/>
    </row>
    <row r="52" spans="1:27">
      <c r="A52" s="2496">
        <v>49</v>
      </c>
      <c r="B52" s="2497"/>
      <c r="C52" s="2497"/>
      <c r="D52" s="2498">
        <f>D40+1</f>
        <v>2017</v>
      </c>
      <c r="E52" s="2498"/>
      <c r="F52" s="2498"/>
      <c r="G52" s="2498"/>
      <c r="H52" s="2498" t="s">
        <v>295</v>
      </c>
      <c r="I52" s="2498"/>
      <c r="J52" s="2498"/>
      <c r="K52" s="2498"/>
      <c r="L52" s="2498"/>
      <c r="M52" s="2498"/>
      <c r="N52" s="2498"/>
      <c r="O52" s="2498"/>
      <c r="P52" s="2488">
        <v>24482</v>
      </c>
      <c r="Q52" s="2489"/>
      <c r="R52" s="2489"/>
      <c r="S52" s="2489"/>
      <c r="T52" s="2501">
        <f>ROUND(IPMT(($AA$3%+0.35%)/11,1,$D$219-$D$40+1,$P$220-(SUM($P$4:P51)))*-1,2)</f>
        <v>23255.63</v>
      </c>
      <c r="U52" s="2501"/>
      <c r="V52" s="2501"/>
      <c r="W52" s="2501"/>
      <c r="X52" s="774"/>
      <c r="Y52" s="772"/>
      <c r="Z52" s="772"/>
      <c r="AA52" s="774"/>
    </row>
    <row r="53" spans="1:27">
      <c r="A53" s="2280">
        <v>50</v>
      </c>
      <c r="B53" s="2483"/>
      <c r="C53" s="2483"/>
      <c r="D53" s="2487">
        <f>$D$52</f>
        <v>2017</v>
      </c>
      <c r="E53" s="2487"/>
      <c r="F53" s="2487"/>
      <c r="G53" s="2487"/>
      <c r="H53" s="2487" t="s">
        <v>296</v>
      </c>
      <c r="I53" s="2487"/>
      <c r="J53" s="2487"/>
      <c r="K53" s="2487"/>
      <c r="L53" s="2487"/>
      <c r="M53" s="2487"/>
      <c r="N53" s="2487"/>
      <c r="O53" s="2487"/>
      <c r="P53" s="2488">
        <v>24482</v>
      </c>
      <c r="Q53" s="2489"/>
      <c r="R53" s="2489"/>
      <c r="S53" s="2489"/>
      <c r="T53" s="2284">
        <f>ROUND(IPMT(($AA$3%+0.35%)/11,1,$D$219-$D$52+1,$P$220-(SUM($P$4:P52)))*-1,2)</f>
        <v>23112.080000000002</v>
      </c>
      <c r="U53" s="2284"/>
      <c r="V53" s="2284"/>
      <c r="W53" s="2284"/>
      <c r="X53" s="774"/>
      <c r="Y53" s="772"/>
      <c r="Z53" s="772"/>
      <c r="AA53" s="774"/>
    </row>
    <row r="54" spans="1:27">
      <c r="A54" s="2280">
        <v>51</v>
      </c>
      <c r="B54" s="2483"/>
      <c r="C54" s="2483"/>
      <c r="D54" s="2487">
        <f t="shared" ref="D54:D63" si="4">$D$52</f>
        <v>2017</v>
      </c>
      <c r="E54" s="2487"/>
      <c r="F54" s="2487"/>
      <c r="G54" s="2487"/>
      <c r="H54" s="2487" t="s">
        <v>297</v>
      </c>
      <c r="I54" s="2487"/>
      <c r="J54" s="2487"/>
      <c r="K54" s="2487"/>
      <c r="L54" s="2487"/>
      <c r="M54" s="2487"/>
      <c r="N54" s="2487"/>
      <c r="O54" s="2487"/>
      <c r="P54" s="2488">
        <v>24482</v>
      </c>
      <c r="Q54" s="2489"/>
      <c r="R54" s="2489"/>
      <c r="S54" s="2489"/>
      <c r="T54" s="2284">
        <f>ROUND(IPMT(($AA$3%+0.35%)/11,1,$D$219-$D$52+1,$P$220-(SUM($P$4:P53)))*-1,2)</f>
        <v>22968.53</v>
      </c>
      <c r="U54" s="2284"/>
      <c r="V54" s="2284"/>
      <c r="W54" s="2284"/>
      <c r="X54" s="774"/>
      <c r="Y54" s="772"/>
      <c r="Z54" s="772"/>
      <c r="AA54" s="774"/>
    </row>
    <row r="55" spans="1:27">
      <c r="A55" s="2280">
        <v>52</v>
      </c>
      <c r="B55" s="2483"/>
      <c r="C55" s="2483"/>
      <c r="D55" s="2487">
        <f t="shared" si="4"/>
        <v>2017</v>
      </c>
      <c r="E55" s="2487"/>
      <c r="F55" s="2487"/>
      <c r="G55" s="2487"/>
      <c r="H55" s="2487" t="s">
        <v>298</v>
      </c>
      <c r="I55" s="2487"/>
      <c r="J55" s="2487"/>
      <c r="K55" s="2487"/>
      <c r="L55" s="2487"/>
      <c r="M55" s="2487"/>
      <c r="N55" s="2487"/>
      <c r="O55" s="2487"/>
      <c r="P55" s="2488">
        <v>24482</v>
      </c>
      <c r="Q55" s="2489"/>
      <c r="R55" s="2489"/>
      <c r="S55" s="2489"/>
      <c r="T55" s="2284">
        <f>ROUND(IPMT(($AA$3%+0.35%)/11,1,$D$219-$D$52+1,$P$220-(SUM($P$4:P54)))*-1,2)</f>
        <v>22824.97</v>
      </c>
      <c r="U55" s="2284"/>
      <c r="V55" s="2284"/>
      <c r="W55" s="2284"/>
      <c r="X55" s="774"/>
      <c r="Y55" s="772"/>
      <c r="Z55" s="772"/>
      <c r="AA55" s="774"/>
    </row>
    <row r="56" spans="1:27">
      <c r="A56" s="2280">
        <v>53</v>
      </c>
      <c r="B56" s="2483"/>
      <c r="C56" s="2483"/>
      <c r="D56" s="2487">
        <f t="shared" si="4"/>
        <v>2017</v>
      </c>
      <c r="E56" s="2487"/>
      <c r="F56" s="2487"/>
      <c r="G56" s="2487"/>
      <c r="H56" s="2487" t="s">
        <v>299</v>
      </c>
      <c r="I56" s="2487"/>
      <c r="J56" s="2487"/>
      <c r="K56" s="2487"/>
      <c r="L56" s="2487"/>
      <c r="M56" s="2487"/>
      <c r="N56" s="2487"/>
      <c r="O56" s="2487"/>
      <c r="P56" s="2488">
        <v>24482</v>
      </c>
      <c r="Q56" s="2489"/>
      <c r="R56" s="2489"/>
      <c r="S56" s="2489"/>
      <c r="T56" s="2284">
        <f>ROUND(IPMT(($AA$3%+0.35%)/11,1,$D$219-$D$52+1,$P$220-(SUM($P$4:P55)))*-1,2)</f>
        <v>22681.42</v>
      </c>
      <c r="U56" s="2284"/>
      <c r="V56" s="2284"/>
      <c r="W56" s="2284"/>
      <c r="X56" s="774"/>
      <c r="Y56" s="772"/>
      <c r="Z56" s="772"/>
      <c r="AA56" s="774"/>
    </row>
    <row r="57" spans="1:27">
      <c r="A57" s="2280">
        <v>54</v>
      </c>
      <c r="B57" s="2483"/>
      <c r="C57" s="2483"/>
      <c r="D57" s="2487">
        <f t="shared" si="4"/>
        <v>2017</v>
      </c>
      <c r="E57" s="2487"/>
      <c r="F57" s="2487"/>
      <c r="G57" s="2487"/>
      <c r="H57" s="2487" t="s">
        <v>300</v>
      </c>
      <c r="I57" s="2487"/>
      <c r="J57" s="2487"/>
      <c r="K57" s="2487"/>
      <c r="L57" s="2487"/>
      <c r="M57" s="2487"/>
      <c r="N57" s="2487"/>
      <c r="O57" s="2487"/>
      <c r="P57" s="2488">
        <v>24482</v>
      </c>
      <c r="Q57" s="2489"/>
      <c r="R57" s="2489"/>
      <c r="S57" s="2489"/>
      <c r="T57" s="2284">
        <f>ROUND(IPMT(($AA$3%+0.35%)/11,1,$D$219-$D$52+1,$P$220-(SUM($P$4:P56)))*-1,2)</f>
        <v>22537.87</v>
      </c>
      <c r="U57" s="2284"/>
      <c r="V57" s="2284"/>
      <c r="W57" s="2284"/>
      <c r="X57" s="774"/>
      <c r="Y57" s="772"/>
      <c r="Z57" s="772"/>
      <c r="AA57" s="774"/>
    </row>
    <row r="58" spans="1:27">
      <c r="A58" s="2280">
        <v>55</v>
      </c>
      <c r="B58" s="2483"/>
      <c r="C58" s="2483"/>
      <c r="D58" s="2487">
        <f t="shared" si="4"/>
        <v>2017</v>
      </c>
      <c r="E58" s="2487"/>
      <c r="F58" s="2487"/>
      <c r="G58" s="2487"/>
      <c r="H58" s="2487" t="s">
        <v>301</v>
      </c>
      <c r="I58" s="2487"/>
      <c r="J58" s="2487"/>
      <c r="K58" s="2487"/>
      <c r="L58" s="2487"/>
      <c r="M58" s="2487"/>
      <c r="N58" s="2487"/>
      <c r="O58" s="2487"/>
      <c r="P58" s="2488">
        <v>24482</v>
      </c>
      <c r="Q58" s="2489"/>
      <c r="R58" s="2489"/>
      <c r="S58" s="2489"/>
      <c r="T58" s="2284">
        <f>ROUND(IPMT(($AA$3%+0.35%)/11,1,$D$219-$D$52+1,$P$220-(SUM($P$4:P57)))*-1,2)</f>
        <v>22394.31</v>
      </c>
      <c r="U58" s="2284"/>
      <c r="V58" s="2284"/>
      <c r="W58" s="2284"/>
      <c r="X58" s="774"/>
      <c r="Y58" s="772"/>
      <c r="Z58" s="772"/>
      <c r="AA58" s="774"/>
    </row>
    <row r="59" spans="1:27">
      <c r="A59" s="2280">
        <v>56</v>
      </c>
      <c r="B59" s="2483"/>
      <c r="C59" s="2483"/>
      <c r="D59" s="2487">
        <f t="shared" si="4"/>
        <v>2017</v>
      </c>
      <c r="E59" s="2487"/>
      <c r="F59" s="2487"/>
      <c r="G59" s="2487"/>
      <c r="H59" s="2487" t="s">
        <v>302</v>
      </c>
      <c r="I59" s="2487"/>
      <c r="J59" s="2487"/>
      <c r="K59" s="2487"/>
      <c r="L59" s="2487"/>
      <c r="M59" s="2487"/>
      <c r="N59" s="2487"/>
      <c r="O59" s="2487"/>
      <c r="P59" s="2488">
        <v>24482</v>
      </c>
      <c r="Q59" s="2489"/>
      <c r="R59" s="2489"/>
      <c r="S59" s="2489"/>
      <c r="T59" s="2284">
        <f>ROUND(IPMT(($AA$3%+0.35%)/11,1,$D$219-$D$52+1,$P$220-(SUM($P$4:P58)))*-1,2)</f>
        <v>22250.76</v>
      </c>
      <c r="U59" s="2284"/>
      <c r="V59" s="2284"/>
      <c r="W59" s="2284"/>
      <c r="X59" s="774"/>
      <c r="Y59" s="772"/>
      <c r="Z59" s="772"/>
      <c r="AA59" s="774"/>
    </row>
    <row r="60" spans="1:27">
      <c r="A60" s="2280">
        <v>57</v>
      </c>
      <c r="B60" s="2483"/>
      <c r="C60" s="2483"/>
      <c r="D60" s="2487">
        <f t="shared" si="4"/>
        <v>2017</v>
      </c>
      <c r="E60" s="2487"/>
      <c r="F60" s="2487"/>
      <c r="G60" s="2487"/>
      <c r="H60" s="2487" t="s">
        <v>303</v>
      </c>
      <c r="I60" s="2487"/>
      <c r="J60" s="2487"/>
      <c r="K60" s="2487"/>
      <c r="L60" s="2487"/>
      <c r="M60" s="2487"/>
      <c r="N60" s="2487"/>
      <c r="O60" s="2487"/>
      <c r="P60" s="2488">
        <v>24482</v>
      </c>
      <c r="Q60" s="2489"/>
      <c r="R60" s="2489"/>
      <c r="S60" s="2489"/>
      <c r="T60" s="2284">
        <f>ROUND(IPMT(($AA$3%+0.35%)/11,1,$D$219-$D$52+1,$P$220-(SUM($P$4:P59)))*-1,2)</f>
        <v>22107.200000000001</v>
      </c>
      <c r="U60" s="2284"/>
      <c r="V60" s="2284"/>
      <c r="W60" s="2284"/>
      <c r="X60" s="774"/>
      <c r="Y60" s="772"/>
      <c r="Z60" s="772"/>
      <c r="AA60" s="774"/>
    </row>
    <row r="61" spans="1:27">
      <c r="A61" s="2280">
        <v>58</v>
      </c>
      <c r="B61" s="2483"/>
      <c r="C61" s="2483"/>
      <c r="D61" s="2487">
        <f t="shared" si="4"/>
        <v>2017</v>
      </c>
      <c r="E61" s="2487"/>
      <c r="F61" s="2487"/>
      <c r="G61" s="2487"/>
      <c r="H61" s="2487" t="s">
        <v>304</v>
      </c>
      <c r="I61" s="2487"/>
      <c r="J61" s="2487"/>
      <c r="K61" s="2487"/>
      <c r="L61" s="2487"/>
      <c r="M61" s="2487"/>
      <c r="N61" s="2487"/>
      <c r="O61" s="2487"/>
      <c r="P61" s="2488">
        <v>24482</v>
      </c>
      <c r="Q61" s="2489"/>
      <c r="R61" s="2489"/>
      <c r="S61" s="2489"/>
      <c r="T61" s="2284">
        <f>ROUND(IPMT(($AA$3%+0.35%)/11,1,$D$219-$D$52+1,$P$220-(SUM($P$4:P60)))*-1,2)</f>
        <v>21963.65</v>
      </c>
      <c r="U61" s="2284"/>
      <c r="V61" s="2284"/>
      <c r="W61" s="2284"/>
      <c r="X61" s="774"/>
      <c r="Y61" s="772"/>
      <c r="Z61" s="772"/>
      <c r="AA61" s="774"/>
    </row>
    <row r="62" spans="1:27">
      <c r="A62" s="2280">
        <v>59</v>
      </c>
      <c r="B62" s="2483"/>
      <c r="C62" s="2483"/>
      <c r="D62" s="2487">
        <f t="shared" si="4"/>
        <v>2017</v>
      </c>
      <c r="E62" s="2487"/>
      <c r="F62" s="2487"/>
      <c r="G62" s="2487"/>
      <c r="H62" s="2487" t="s">
        <v>305</v>
      </c>
      <c r="I62" s="2487"/>
      <c r="J62" s="2487"/>
      <c r="K62" s="2487"/>
      <c r="L62" s="2487"/>
      <c r="M62" s="2487"/>
      <c r="N62" s="2487"/>
      <c r="O62" s="2487"/>
      <c r="P62" s="2488">
        <v>24482</v>
      </c>
      <c r="Q62" s="2489"/>
      <c r="R62" s="2489"/>
      <c r="S62" s="2489"/>
      <c r="T62" s="2284">
        <f>ROUND(IPMT(($AA$3%+0.35%)/11,1,$D$219-$D$52+1,$P$220-(SUM($P$4:P61)))*-1,2)</f>
        <v>21820.1</v>
      </c>
      <c r="U62" s="2284"/>
      <c r="V62" s="2284"/>
      <c r="W62" s="2284"/>
      <c r="X62" s="774"/>
      <c r="Y62" s="772"/>
      <c r="Z62" s="772"/>
      <c r="AA62" s="774"/>
    </row>
    <row r="63" spans="1:27">
      <c r="A63" s="2280">
        <v>60</v>
      </c>
      <c r="B63" s="2483"/>
      <c r="C63" s="2483"/>
      <c r="D63" s="2487">
        <f t="shared" si="4"/>
        <v>2017</v>
      </c>
      <c r="E63" s="2487"/>
      <c r="F63" s="2487"/>
      <c r="G63" s="2487"/>
      <c r="H63" s="2487" t="s">
        <v>306</v>
      </c>
      <c r="I63" s="2487"/>
      <c r="J63" s="2487"/>
      <c r="K63" s="2487"/>
      <c r="L63" s="2487"/>
      <c r="M63" s="2487"/>
      <c r="N63" s="2487"/>
      <c r="O63" s="2487"/>
      <c r="P63" s="2488">
        <v>24482</v>
      </c>
      <c r="Q63" s="2489"/>
      <c r="R63" s="2489"/>
      <c r="S63" s="2489"/>
      <c r="T63" s="2284">
        <f>ROUND(IPMT(($AA$3%+0.35%)/11,1,$D$219-$D$52+1,$P$220-(SUM($P$4:P62)))*-1,2)</f>
        <v>21676.54</v>
      </c>
      <c r="U63" s="2284"/>
      <c r="V63" s="2284"/>
      <c r="W63" s="2284"/>
      <c r="X63" s="774"/>
      <c r="Y63" s="2494">
        <f>SUM(T52:W63)</f>
        <v>269593.06</v>
      </c>
      <c r="Z63" s="2495"/>
      <c r="AA63" s="774"/>
    </row>
    <row r="64" spans="1:27">
      <c r="A64" s="2496">
        <v>13</v>
      </c>
      <c r="B64" s="2497"/>
      <c r="C64" s="2497"/>
      <c r="D64" s="2498">
        <f>D52+1</f>
        <v>2018</v>
      </c>
      <c r="E64" s="2498"/>
      <c r="F64" s="2498"/>
      <c r="G64" s="2498"/>
      <c r="H64" s="2498" t="s">
        <v>295</v>
      </c>
      <c r="I64" s="2498"/>
      <c r="J64" s="2498"/>
      <c r="K64" s="2498"/>
      <c r="L64" s="2498"/>
      <c r="M64" s="2498"/>
      <c r="N64" s="2498"/>
      <c r="O64" s="2498"/>
      <c r="P64" s="2488">
        <v>24482</v>
      </c>
      <c r="Q64" s="2489"/>
      <c r="R64" s="2489"/>
      <c r="S64" s="2489"/>
      <c r="T64" s="2501">
        <f>ROUND(IPMT(($AA$3%+0.35%)/11,1,$D$219-$D$52+1,$P$220-(SUM($P$4:P63)))*-1,2)</f>
        <v>21532.99</v>
      </c>
      <c r="U64" s="2501"/>
      <c r="V64" s="2501"/>
      <c r="W64" s="2501"/>
      <c r="X64" s="774"/>
      <c r="Y64" s="772"/>
      <c r="Z64" s="772"/>
      <c r="AA64" s="774"/>
    </row>
    <row r="65" spans="1:27">
      <c r="A65" s="2280">
        <v>14</v>
      </c>
      <c r="B65" s="2483"/>
      <c r="C65" s="2483"/>
      <c r="D65" s="2487">
        <f>$D$64</f>
        <v>2018</v>
      </c>
      <c r="E65" s="2487"/>
      <c r="F65" s="2487"/>
      <c r="G65" s="2487"/>
      <c r="H65" s="2487" t="s">
        <v>296</v>
      </c>
      <c r="I65" s="2487"/>
      <c r="J65" s="2487"/>
      <c r="K65" s="2487"/>
      <c r="L65" s="2487"/>
      <c r="M65" s="2487"/>
      <c r="N65" s="2487"/>
      <c r="O65" s="2487"/>
      <c r="P65" s="2488">
        <v>24482</v>
      </c>
      <c r="Q65" s="2489"/>
      <c r="R65" s="2489"/>
      <c r="S65" s="2489"/>
      <c r="T65" s="2284">
        <f>ROUND(IPMT(($AA$3%+0.35%)/11,1,$D$219-$D$64+1,$P$220-(SUM($P$4:P64)))*-1,2)</f>
        <v>21389.439999999999</v>
      </c>
      <c r="U65" s="2284"/>
      <c r="V65" s="2284"/>
      <c r="W65" s="2284"/>
      <c r="X65" s="774"/>
      <c r="Y65" s="772"/>
      <c r="Z65" s="772"/>
      <c r="AA65" s="774"/>
    </row>
    <row r="66" spans="1:27">
      <c r="A66" s="2280">
        <v>15</v>
      </c>
      <c r="B66" s="2483"/>
      <c r="C66" s="2483"/>
      <c r="D66" s="2487">
        <f t="shared" ref="D66:D75" si="5">$D$64</f>
        <v>2018</v>
      </c>
      <c r="E66" s="2487"/>
      <c r="F66" s="2487"/>
      <c r="G66" s="2487"/>
      <c r="H66" s="2487" t="s">
        <v>297</v>
      </c>
      <c r="I66" s="2487"/>
      <c r="J66" s="2487"/>
      <c r="K66" s="2487"/>
      <c r="L66" s="2487"/>
      <c r="M66" s="2487"/>
      <c r="N66" s="2487"/>
      <c r="O66" s="2487"/>
      <c r="P66" s="2488">
        <v>24482</v>
      </c>
      <c r="Q66" s="2489"/>
      <c r="R66" s="2489"/>
      <c r="S66" s="2489"/>
      <c r="T66" s="2284">
        <f>ROUND(IPMT(($AA$3%+0.35%)/11,1,$D$219-$D$64+1,$P$220-(SUM($P$4:P65)))*-1,2)</f>
        <v>21245.88</v>
      </c>
      <c r="U66" s="2284"/>
      <c r="V66" s="2284"/>
      <c r="W66" s="2284"/>
      <c r="X66" s="774"/>
      <c r="Y66" s="772"/>
      <c r="Z66" s="772"/>
      <c r="AA66" s="774"/>
    </row>
    <row r="67" spans="1:27">
      <c r="A67" s="2280">
        <v>16</v>
      </c>
      <c r="B67" s="2483"/>
      <c r="C67" s="2483"/>
      <c r="D67" s="2487">
        <f t="shared" si="5"/>
        <v>2018</v>
      </c>
      <c r="E67" s="2487"/>
      <c r="F67" s="2487"/>
      <c r="G67" s="2487"/>
      <c r="H67" s="2487" t="s">
        <v>298</v>
      </c>
      <c r="I67" s="2487"/>
      <c r="J67" s="2487"/>
      <c r="K67" s="2487"/>
      <c r="L67" s="2487"/>
      <c r="M67" s="2487"/>
      <c r="N67" s="2487"/>
      <c r="O67" s="2487"/>
      <c r="P67" s="2488">
        <v>24482</v>
      </c>
      <c r="Q67" s="2489"/>
      <c r="R67" s="2489"/>
      <c r="S67" s="2489"/>
      <c r="T67" s="2284">
        <f>ROUND(IPMT(($AA$3%+0.35%)/11,1,$D$219-$D$64+1,$P$220-(SUM($P$4:P66)))*-1,2)</f>
        <v>21102.33</v>
      </c>
      <c r="U67" s="2284"/>
      <c r="V67" s="2284"/>
      <c r="W67" s="2284"/>
      <c r="X67" s="774"/>
      <c r="Y67" s="772"/>
      <c r="Z67" s="772"/>
      <c r="AA67" s="774"/>
    </row>
    <row r="68" spans="1:27">
      <c r="A68" s="2280">
        <v>17</v>
      </c>
      <c r="B68" s="2483"/>
      <c r="C68" s="2483"/>
      <c r="D68" s="2487">
        <f t="shared" si="5"/>
        <v>2018</v>
      </c>
      <c r="E68" s="2487"/>
      <c r="F68" s="2487"/>
      <c r="G68" s="2487"/>
      <c r="H68" s="2487" t="s">
        <v>299</v>
      </c>
      <c r="I68" s="2487"/>
      <c r="J68" s="2487"/>
      <c r="K68" s="2487"/>
      <c r="L68" s="2487"/>
      <c r="M68" s="2487"/>
      <c r="N68" s="2487"/>
      <c r="O68" s="2487"/>
      <c r="P68" s="2488">
        <v>24482</v>
      </c>
      <c r="Q68" s="2489"/>
      <c r="R68" s="2489"/>
      <c r="S68" s="2489"/>
      <c r="T68" s="2284">
        <f>ROUND(IPMT(($AA$3%+0.35%)/11,1,$D$219-$D$64+1,$P$220-(SUM($P$4:P67)))*-1,2)</f>
        <v>20958.78</v>
      </c>
      <c r="U68" s="2284"/>
      <c r="V68" s="2284"/>
      <c r="W68" s="2284"/>
      <c r="X68" s="774"/>
      <c r="Y68" s="772"/>
      <c r="Z68" s="772"/>
      <c r="AA68" s="774"/>
    </row>
    <row r="69" spans="1:27">
      <c r="A69" s="2280">
        <v>18</v>
      </c>
      <c r="B69" s="2483"/>
      <c r="C69" s="2483"/>
      <c r="D69" s="2487">
        <f t="shared" si="5"/>
        <v>2018</v>
      </c>
      <c r="E69" s="2487"/>
      <c r="F69" s="2487"/>
      <c r="G69" s="2487"/>
      <c r="H69" s="2487" t="s">
        <v>300</v>
      </c>
      <c r="I69" s="2487"/>
      <c r="J69" s="2487"/>
      <c r="K69" s="2487"/>
      <c r="L69" s="2487"/>
      <c r="M69" s="2487"/>
      <c r="N69" s="2487"/>
      <c r="O69" s="2487"/>
      <c r="P69" s="2488">
        <v>24482</v>
      </c>
      <c r="Q69" s="2489"/>
      <c r="R69" s="2489"/>
      <c r="S69" s="2489"/>
      <c r="T69" s="2284">
        <f>ROUND(IPMT(($AA$3%+0.35%)/11,1,$D$219-$D$64+1,$P$220-(SUM($P$4:P68)))*-1,2)</f>
        <v>20815.22</v>
      </c>
      <c r="U69" s="2284"/>
      <c r="V69" s="2284"/>
      <c r="W69" s="2284"/>
      <c r="X69" s="774"/>
      <c r="Y69" s="772"/>
      <c r="Z69" s="772"/>
      <c r="AA69" s="774"/>
    </row>
    <row r="70" spans="1:27">
      <c r="A70" s="2280">
        <v>19</v>
      </c>
      <c r="B70" s="2483"/>
      <c r="C70" s="2483"/>
      <c r="D70" s="2487">
        <f t="shared" si="5"/>
        <v>2018</v>
      </c>
      <c r="E70" s="2487"/>
      <c r="F70" s="2487"/>
      <c r="G70" s="2487"/>
      <c r="H70" s="2487" t="s">
        <v>301</v>
      </c>
      <c r="I70" s="2487"/>
      <c r="J70" s="2487"/>
      <c r="K70" s="2487"/>
      <c r="L70" s="2487"/>
      <c r="M70" s="2487"/>
      <c r="N70" s="2487"/>
      <c r="O70" s="2487"/>
      <c r="P70" s="2488">
        <v>24482</v>
      </c>
      <c r="Q70" s="2489"/>
      <c r="R70" s="2489"/>
      <c r="S70" s="2489"/>
      <c r="T70" s="2284">
        <f>ROUND(IPMT(($AA$3%+0.35%)/11,1,$D$219-$D$64+1,$P$220-(SUM($P$4:P69)))*-1,2)</f>
        <v>20671.669999999998</v>
      </c>
      <c r="U70" s="2284"/>
      <c r="V70" s="2284"/>
      <c r="W70" s="2284"/>
      <c r="X70" s="774"/>
      <c r="Y70" s="772"/>
      <c r="Z70" s="772"/>
      <c r="AA70" s="774"/>
    </row>
    <row r="71" spans="1:27">
      <c r="A71" s="2280">
        <v>20</v>
      </c>
      <c r="B71" s="2483"/>
      <c r="C71" s="2483"/>
      <c r="D71" s="2487">
        <f t="shared" si="5"/>
        <v>2018</v>
      </c>
      <c r="E71" s="2487"/>
      <c r="F71" s="2487"/>
      <c r="G71" s="2487"/>
      <c r="H71" s="2487" t="s">
        <v>302</v>
      </c>
      <c r="I71" s="2487"/>
      <c r="J71" s="2487"/>
      <c r="K71" s="2487"/>
      <c r="L71" s="2487"/>
      <c r="M71" s="2487"/>
      <c r="N71" s="2487"/>
      <c r="O71" s="2487"/>
      <c r="P71" s="2488">
        <v>24482</v>
      </c>
      <c r="Q71" s="2489"/>
      <c r="R71" s="2489"/>
      <c r="S71" s="2489"/>
      <c r="T71" s="2284">
        <f>ROUND(IPMT(($AA$3%+0.35%)/11,1,$D$219-$D$64+1,$P$220-(SUM($P$4:P70)))*-1,2)</f>
        <v>20528.12</v>
      </c>
      <c r="U71" s="2284"/>
      <c r="V71" s="2284"/>
      <c r="W71" s="2284"/>
      <c r="X71" s="774"/>
      <c r="Y71" s="772"/>
      <c r="Z71" s="772"/>
      <c r="AA71" s="774"/>
    </row>
    <row r="72" spans="1:27">
      <c r="A72" s="2280">
        <v>21</v>
      </c>
      <c r="B72" s="2483"/>
      <c r="C72" s="2483"/>
      <c r="D72" s="2487">
        <f t="shared" si="5"/>
        <v>2018</v>
      </c>
      <c r="E72" s="2487"/>
      <c r="F72" s="2487"/>
      <c r="G72" s="2487"/>
      <c r="H72" s="2487" t="s">
        <v>303</v>
      </c>
      <c r="I72" s="2487"/>
      <c r="J72" s="2487"/>
      <c r="K72" s="2487"/>
      <c r="L72" s="2487"/>
      <c r="M72" s="2487"/>
      <c r="N72" s="2487"/>
      <c r="O72" s="2487"/>
      <c r="P72" s="2488">
        <v>24482</v>
      </c>
      <c r="Q72" s="2489"/>
      <c r="R72" s="2489"/>
      <c r="S72" s="2489"/>
      <c r="T72" s="2284">
        <f>ROUND(IPMT(($AA$3%+0.35%)/11,1,$D$219-$D$64+1,$P$220-(SUM($P$4:P71)))*-1,2)</f>
        <v>20384.560000000001</v>
      </c>
      <c r="U72" s="2284"/>
      <c r="V72" s="2284"/>
      <c r="W72" s="2284"/>
      <c r="X72" s="774"/>
      <c r="Y72" s="772"/>
      <c r="Z72" s="772"/>
      <c r="AA72" s="774"/>
    </row>
    <row r="73" spans="1:27">
      <c r="A73" s="2280">
        <v>22</v>
      </c>
      <c r="B73" s="2483"/>
      <c r="C73" s="2483"/>
      <c r="D73" s="2487">
        <f t="shared" si="5"/>
        <v>2018</v>
      </c>
      <c r="E73" s="2487"/>
      <c r="F73" s="2487"/>
      <c r="G73" s="2487"/>
      <c r="H73" s="2487" t="s">
        <v>304</v>
      </c>
      <c r="I73" s="2487"/>
      <c r="J73" s="2487"/>
      <c r="K73" s="2487"/>
      <c r="L73" s="2487"/>
      <c r="M73" s="2487"/>
      <c r="N73" s="2487"/>
      <c r="O73" s="2487"/>
      <c r="P73" s="2488">
        <v>24482</v>
      </c>
      <c r="Q73" s="2489"/>
      <c r="R73" s="2489"/>
      <c r="S73" s="2489"/>
      <c r="T73" s="2284">
        <f>ROUND(IPMT(($AA$3%+0.35%)/11,1,$D$219-$D$64+1,$P$220-(SUM($P$4:P72)))*-1,2)</f>
        <v>20241.009999999998</v>
      </c>
      <c r="U73" s="2284"/>
      <c r="V73" s="2284"/>
      <c r="W73" s="2284"/>
      <c r="X73" s="774"/>
      <c r="Y73" s="772"/>
      <c r="Z73" s="772"/>
      <c r="AA73" s="774"/>
    </row>
    <row r="74" spans="1:27">
      <c r="A74" s="2280">
        <v>23</v>
      </c>
      <c r="B74" s="2483"/>
      <c r="C74" s="2483"/>
      <c r="D74" s="2487">
        <f t="shared" si="5"/>
        <v>2018</v>
      </c>
      <c r="E74" s="2487"/>
      <c r="F74" s="2487"/>
      <c r="G74" s="2487"/>
      <c r="H74" s="2487" t="s">
        <v>305</v>
      </c>
      <c r="I74" s="2487"/>
      <c r="J74" s="2487"/>
      <c r="K74" s="2487"/>
      <c r="L74" s="2487"/>
      <c r="M74" s="2487"/>
      <c r="N74" s="2487"/>
      <c r="O74" s="2487"/>
      <c r="P74" s="2488">
        <v>24482</v>
      </c>
      <c r="Q74" s="2489"/>
      <c r="R74" s="2489"/>
      <c r="S74" s="2489"/>
      <c r="T74" s="2284">
        <f>ROUND(IPMT(($AA$3%+0.35%)/11,1,$D$219-$D$64+1,$P$220-(SUM($P$4:P73)))*-1,2)</f>
        <v>20097.46</v>
      </c>
      <c r="U74" s="2284"/>
      <c r="V74" s="2284"/>
      <c r="W74" s="2284"/>
      <c r="X74" s="774"/>
      <c r="Y74" s="772"/>
      <c r="Z74" s="772"/>
      <c r="AA74" s="774"/>
    </row>
    <row r="75" spans="1:27">
      <c r="A75" s="2280">
        <v>24</v>
      </c>
      <c r="B75" s="2483"/>
      <c r="C75" s="2483"/>
      <c r="D75" s="2487">
        <f t="shared" si="5"/>
        <v>2018</v>
      </c>
      <c r="E75" s="2487"/>
      <c r="F75" s="2487"/>
      <c r="G75" s="2487"/>
      <c r="H75" s="2487" t="s">
        <v>306</v>
      </c>
      <c r="I75" s="2487"/>
      <c r="J75" s="2487"/>
      <c r="K75" s="2487"/>
      <c r="L75" s="2487"/>
      <c r="M75" s="2487"/>
      <c r="N75" s="2487"/>
      <c r="O75" s="2487"/>
      <c r="P75" s="2488">
        <v>24482</v>
      </c>
      <c r="Q75" s="2489"/>
      <c r="R75" s="2489"/>
      <c r="S75" s="2489"/>
      <c r="T75" s="2284">
        <f>ROUND(IPMT(($AA$3%+0.35%)/11,1,$D$219-$D$64+1,$P$220-(SUM($P$4:P74)))*-1,2)</f>
        <v>19953.900000000001</v>
      </c>
      <c r="U75" s="2284"/>
      <c r="V75" s="2284"/>
      <c r="W75" s="2284"/>
      <c r="X75" s="774"/>
      <c r="Y75" s="2494">
        <f>SUM(T64:W75)</f>
        <v>248921.36</v>
      </c>
      <c r="Z75" s="2495"/>
      <c r="AA75" s="774"/>
    </row>
    <row r="76" spans="1:27">
      <c r="A76" s="2496">
        <v>13</v>
      </c>
      <c r="B76" s="2497"/>
      <c r="C76" s="2497"/>
      <c r="D76" s="2498">
        <f>D64+1</f>
        <v>2019</v>
      </c>
      <c r="E76" s="2498"/>
      <c r="F76" s="2498"/>
      <c r="G76" s="2498"/>
      <c r="H76" s="2498" t="s">
        <v>295</v>
      </c>
      <c r="I76" s="2498"/>
      <c r="J76" s="2498"/>
      <c r="K76" s="2498"/>
      <c r="L76" s="2498"/>
      <c r="M76" s="2498"/>
      <c r="N76" s="2498"/>
      <c r="O76" s="2498"/>
      <c r="P76" s="2488">
        <v>24482</v>
      </c>
      <c r="Q76" s="2489"/>
      <c r="R76" s="2489"/>
      <c r="S76" s="2489"/>
      <c r="T76" s="2501">
        <f>ROUND(IPMT(($AA$3%+0.35%)/11,1,$D$219-$D$64+1,$P$220-(SUM($P$4:P75)))*-1,2)</f>
        <v>19810.349999999999</v>
      </c>
      <c r="U76" s="2501"/>
      <c r="V76" s="2501"/>
      <c r="W76" s="2501"/>
      <c r="X76" s="774"/>
      <c r="Y76" s="772"/>
      <c r="Z76" s="772"/>
      <c r="AA76" s="774"/>
    </row>
    <row r="77" spans="1:27">
      <c r="A77" s="2280">
        <v>14</v>
      </c>
      <c r="B77" s="2483"/>
      <c r="C77" s="2483"/>
      <c r="D77" s="2487">
        <f>$D$76</f>
        <v>2019</v>
      </c>
      <c r="E77" s="2487"/>
      <c r="F77" s="2487"/>
      <c r="G77" s="2487"/>
      <c r="H77" s="2487" t="s">
        <v>296</v>
      </c>
      <c r="I77" s="2487"/>
      <c r="J77" s="2487"/>
      <c r="K77" s="2487"/>
      <c r="L77" s="2487"/>
      <c r="M77" s="2487"/>
      <c r="N77" s="2487"/>
      <c r="O77" s="2487"/>
      <c r="P77" s="2488">
        <v>24482</v>
      </c>
      <c r="Q77" s="2489"/>
      <c r="R77" s="2489"/>
      <c r="S77" s="2489"/>
      <c r="T77" s="2284">
        <f>ROUND(IPMT(($AA$3%+0.35%)/11,1,$D$219-$D$76+1,$P$220-(SUM($P$4:P76)))*-1,2)</f>
        <v>19666.79</v>
      </c>
      <c r="U77" s="2284"/>
      <c r="V77" s="2284"/>
      <c r="W77" s="2284"/>
      <c r="X77" s="774"/>
      <c r="Y77" s="772"/>
      <c r="Z77" s="772"/>
      <c r="AA77" s="774"/>
    </row>
    <row r="78" spans="1:27">
      <c r="A78" s="2280">
        <v>15</v>
      </c>
      <c r="B78" s="2483"/>
      <c r="C78" s="2483"/>
      <c r="D78" s="2487">
        <f t="shared" ref="D78:D87" si="6">$D$76</f>
        <v>2019</v>
      </c>
      <c r="E78" s="2487"/>
      <c r="F78" s="2487"/>
      <c r="G78" s="2487"/>
      <c r="H78" s="2487" t="s">
        <v>297</v>
      </c>
      <c r="I78" s="2487"/>
      <c r="J78" s="2487"/>
      <c r="K78" s="2487"/>
      <c r="L78" s="2487"/>
      <c r="M78" s="2487"/>
      <c r="N78" s="2487"/>
      <c r="O78" s="2487"/>
      <c r="P78" s="2488">
        <v>24482</v>
      </c>
      <c r="Q78" s="2489"/>
      <c r="R78" s="2489"/>
      <c r="S78" s="2489"/>
      <c r="T78" s="2284">
        <f>ROUND(IPMT(($AA$3%+0.35%)/11,1,$D$219-$D$76+1,$P$220-(SUM($P$4:P77)))*-1,2)</f>
        <v>19523.240000000002</v>
      </c>
      <c r="U78" s="2284"/>
      <c r="V78" s="2284"/>
      <c r="W78" s="2284"/>
      <c r="X78" s="774"/>
      <c r="Y78" s="772"/>
      <c r="Z78" s="772"/>
      <c r="AA78" s="774"/>
    </row>
    <row r="79" spans="1:27">
      <c r="A79" s="2280">
        <v>16</v>
      </c>
      <c r="B79" s="2483"/>
      <c r="C79" s="2483"/>
      <c r="D79" s="2487">
        <f t="shared" si="6"/>
        <v>2019</v>
      </c>
      <c r="E79" s="2487"/>
      <c r="F79" s="2487"/>
      <c r="G79" s="2487"/>
      <c r="H79" s="2487" t="s">
        <v>298</v>
      </c>
      <c r="I79" s="2487"/>
      <c r="J79" s="2487"/>
      <c r="K79" s="2487"/>
      <c r="L79" s="2487"/>
      <c r="M79" s="2487"/>
      <c r="N79" s="2487"/>
      <c r="O79" s="2487"/>
      <c r="P79" s="2488">
        <v>24482</v>
      </c>
      <c r="Q79" s="2489"/>
      <c r="R79" s="2489"/>
      <c r="S79" s="2489"/>
      <c r="T79" s="2284">
        <f>ROUND(IPMT(($AA$3%+0.35%)/11,1,$D$219-$D$76+1,$P$220-(SUM($P$4:P78)))*-1,2)</f>
        <v>19379.689999999999</v>
      </c>
      <c r="U79" s="2284"/>
      <c r="V79" s="2284"/>
      <c r="W79" s="2284"/>
      <c r="X79" s="774"/>
      <c r="Y79" s="772"/>
      <c r="Z79" s="772"/>
      <c r="AA79" s="774"/>
    </row>
    <row r="80" spans="1:27">
      <c r="A80" s="2280">
        <v>17</v>
      </c>
      <c r="B80" s="2483"/>
      <c r="C80" s="2483"/>
      <c r="D80" s="2487">
        <f t="shared" si="6"/>
        <v>2019</v>
      </c>
      <c r="E80" s="2487"/>
      <c r="F80" s="2487"/>
      <c r="G80" s="2487"/>
      <c r="H80" s="2487" t="s">
        <v>299</v>
      </c>
      <c r="I80" s="2487"/>
      <c r="J80" s="2487"/>
      <c r="K80" s="2487"/>
      <c r="L80" s="2487"/>
      <c r="M80" s="2487"/>
      <c r="N80" s="2487"/>
      <c r="O80" s="2487"/>
      <c r="P80" s="2488">
        <v>24482</v>
      </c>
      <c r="Q80" s="2489"/>
      <c r="R80" s="2489"/>
      <c r="S80" s="2489"/>
      <c r="T80" s="2284">
        <f>ROUND(IPMT(($AA$3%+0.35%)/11,1,$D$219-$D$76+1,$P$220-(SUM($P$4:P79)))*-1,2)</f>
        <v>19236.13</v>
      </c>
      <c r="U80" s="2284"/>
      <c r="V80" s="2284"/>
      <c r="W80" s="2284"/>
      <c r="X80" s="774"/>
      <c r="Y80" s="772"/>
      <c r="Z80" s="772"/>
      <c r="AA80" s="774"/>
    </row>
    <row r="81" spans="1:27">
      <c r="A81" s="2280">
        <v>18</v>
      </c>
      <c r="B81" s="2483"/>
      <c r="C81" s="2483"/>
      <c r="D81" s="2487">
        <f t="shared" si="6"/>
        <v>2019</v>
      </c>
      <c r="E81" s="2487"/>
      <c r="F81" s="2487"/>
      <c r="G81" s="2487"/>
      <c r="H81" s="2487" t="s">
        <v>300</v>
      </c>
      <c r="I81" s="2487"/>
      <c r="J81" s="2487"/>
      <c r="K81" s="2487"/>
      <c r="L81" s="2487"/>
      <c r="M81" s="2487"/>
      <c r="N81" s="2487"/>
      <c r="O81" s="2487"/>
      <c r="P81" s="2488">
        <v>24482</v>
      </c>
      <c r="Q81" s="2489"/>
      <c r="R81" s="2489"/>
      <c r="S81" s="2489"/>
      <c r="T81" s="2284">
        <f>ROUND(IPMT(($AA$3%+0.35%)/11,1,$D$219-$D$76+1,$P$220-(SUM($P$4:P80)))*-1,2)</f>
        <v>19092.580000000002</v>
      </c>
      <c r="U81" s="2284"/>
      <c r="V81" s="2284"/>
      <c r="W81" s="2284"/>
      <c r="X81" s="774"/>
      <c r="Y81" s="772"/>
      <c r="Z81" s="772"/>
      <c r="AA81" s="774"/>
    </row>
    <row r="82" spans="1:27">
      <c r="A82" s="2280">
        <v>19</v>
      </c>
      <c r="B82" s="2483"/>
      <c r="C82" s="2483"/>
      <c r="D82" s="2487">
        <f t="shared" si="6"/>
        <v>2019</v>
      </c>
      <c r="E82" s="2487"/>
      <c r="F82" s="2487"/>
      <c r="G82" s="2487"/>
      <c r="H82" s="2487" t="s">
        <v>301</v>
      </c>
      <c r="I82" s="2487"/>
      <c r="J82" s="2487"/>
      <c r="K82" s="2487"/>
      <c r="L82" s="2487"/>
      <c r="M82" s="2487"/>
      <c r="N82" s="2487"/>
      <c r="O82" s="2487"/>
      <c r="P82" s="2488">
        <v>24482</v>
      </c>
      <c r="Q82" s="2489"/>
      <c r="R82" s="2489"/>
      <c r="S82" s="2489"/>
      <c r="T82" s="2284">
        <f>ROUND(IPMT(($AA$3%+0.35%)/11,1,$D$219-$D$76+1,$P$220-(SUM($P$4:P81)))*-1,2)</f>
        <v>18949.03</v>
      </c>
      <c r="U82" s="2284"/>
      <c r="V82" s="2284"/>
      <c r="W82" s="2284"/>
      <c r="X82" s="774"/>
      <c r="Y82" s="772"/>
      <c r="Z82" s="772"/>
      <c r="AA82" s="774"/>
    </row>
    <row r="83" spans="1:27">
      <c r="A83" s="2280">
        <v>20</v>
      </c>
      <c r="B83" s="2483"/>
      <c r="C83" s="2483"/>
      <c r="D83" s="2487">
        <f t="shared" si="6"/>
        <v>2019</v>
      </c>
      <c r="E83" s="2487"/>
      <c r="F83" s="2487"/>
      <c r="G83" s="2487"/>
      <c r="H83" s="2487" t="s">
        <v>302</v>
      </c>
      <c r="I83" s="2487"/>
      <c r="J83" s="2487"/>
      <c r="K83" s="2487"/>
      <c r="L83" s="2487"/>
      <c r="M83" s="2487"/>
      <c r="N83" s="2487"/>
      <c r="O83" s="2487"/>
      <c r="P83" s="2488">
        <v>24482</v>
      </c>
      <c r="Q83" s="2489"/>
      <c r="R83" s="2489"/>
      <c r="S83" s="2489"/>
      <c r="T83" s="2284">
        <f>ROUND(IPMT(($AA$3%+0.35%)/11,1,$D$219-$D$76+1,$P$220-(SUM($P$4:P82)))*-1,2)</f>
        <v>18805.47</v>
      </c>
      <c r="U83" s="2284"/>
      <c r="V83" s="2284"/>
      <c r="W83" s="2284"/>
      <c r="X83" s="774"/>
      <c r="Y83" s="772"/>
      <c r="Z83" s="772"/>
      <c r="AA83" s="774"/>
    </row>
    <row r="84" spans="1:27">
      <c r="A84" s="2280">
        <v>21</v>
      </c>
      <c r="B84" s="2483"/>
      <c r="C84" s="2483"/>
      <c r="D84" s="2487">
        <f t="shared" si="6"/>
        <v>2019</v>
      </c>
      <c r="E84" s="2487"/>
      <c r="F84" s="2487"/>
      <c r="G84" s="2487"/>
      <c r="H84" s="2487" t="s">
        <v>303</v>
      </c>
      <c r="I84" s="2487"/>
      <c r="J84" s="2487"/>
      <c r="K84" s="2487"/>
      <c r="L84" s="2487"/>
      <c r="M84" s="2487"/>
      <c r="N84" s="2487"/>
      <c r="O84" s="2487"/>
      <c r="P84" s="2488">
        <v>24482</v>
      </c>
      <c r="Q84" s="2489"/>
      <c r="R84" s="2489"/>
      <c r="S84" s="2489"/>
      <c r="T84" s="2284">
        <f>ROUND(IPMT(($AA$3%+0.35%)/11,1,$D$219-$D$76+1,$P$220-(SUM($P$4:P83)))*-1,2)</f>
        <v>18661.919999999998</v>
      </c>
      <c r="U84" s="2284"/>
      <c r="V84" s="2284"/>
      <c r="W84" s="2284"/>
      <c r="X84" s="774"/>
      <c r="Y84" s="772"/>
      <c r="Z84" s="772"/>
      <c r="AA84" s="774"/>
    </row>
    <row r="85" spans="1:27">
      <c r="A85" s="2280">
        <v>22</v>
      </c>
      <c r="B85" s="2483"/>
      <c r="C85" s="2483"/>
      <c r="D85" s="2487">
        <f t="shared" si="6"/>
        <v>2019</v>
      </c>
      <c r="E85" s="2487"/>
      <c r="F85" s="2487"/>
      <c r="G85" s="2487"/>
      <c r="H85" s="2487" t="s">
        <v>304</v>
      </c>
      <c r="I85" s="2487"/>
      <c r="J85" s="2487"/>
      <c r="K85" s="2487"/>
      <c r="L85" s="2487"/>
      <c r="M85" s="2487"/>
      <c r="N85" s="2487"/>
      <c r="O85" s="2487"/>
      <c r="P85" s="2488">
        <v>24482</v>
      </c>
      <c r="Q85" s="2489"/>
      <c r="R85" s="2489"/>
      <c r="S85" s="2489"/>
      <c r="T85" s="2284">
        <f>ROUND(IPMT(($AA$3%+0.35%)/11,1,$D$219-$D$76+1,$P$220-(SUM($P$4:P84)))*-1,2)</f>
        <v>18518.37</v>
      </c>
      <c r="U85" s="2284"/>
      <c r="V85" s="2284"/>
      <c r="W85" s="2284"/>
      <c r="X85" s="774"/>
      <c r="Y85" s="772"/>
      <c r="Z85" s="772"/>
      <c r="AA85" s="774"/>
    </row>
    <row r="86" spans="1:27">
      <c r="A86" s="2280">
        <v>23</v>
      </c>
      <c r="B86" s="2483"/>
      <c r="C86" s="2483"/>
      <c r="D86" s="2487">
        <f t="shared" si="6"/>
        <v>2019</v>
      </c>
      <c r="E86" s="2487"/>
      <c r="F86" s="2487"/>
      <c r="G86" s="2487"/>
      <c r="H86" s="2487" t="s">
        <v>305</v>
      </c>
      <c r="I86" s="2487"/>
      <c r="J86" s="2487"/>
      <c r="K86" s="2487"/>
      <c r="L86" s="2487"/>
      <c r="M86" s="2487"/>
      <c r="N86" s="2487"/>
      <c r="O86" s="2487"/>
      <c r="P86" s="2488">
        <v>24482</v>
      </c>
      <c r="Q86" s="2489"/>
      <c r="R86" s="2489"/>
      <c r="S86" s="2489"/>
      <c r="T86" s="2284">
        <f>ROUND(IPMT(($AA$3%+0.35%)/11,1,$D$219-$D$76+1,$P$220-(SUM($P$4:P85)))*-1,2)</f>
        <v>18374.810000000001</v>
      </c>
      <c r="U86" s="2284"/>
      <c r="V86" s="2284"/>
      <c r="W86" s="2284"/>
      <c r="X86" s="774"/>
      <c r="Y86" s="772"/>
      <c r="Z86" s="772"/>
      <c r="AA86" s="774"/>
    </row>
    <row r="87" spans="1:27">
      <c r="A87" s="2280">
        <v>24</v>
      </c>
      <c r="B87" s="2483"/>
      <c r="C87" s="2483"/>
      <c r="D87" s="2487">
        <f t="shared" si="6"/>
        <v>2019</v>
      </c>
      <c r="E87" s="2487"/>
      <c r="F87" s="2487"/>
      <c r="G87" s="2487"/>
      <c r="H87" s="2487" t="s">
        <v>306</v>
      </c>
      <c r="I87" s="2487"/>
      <c r="J87" s="2487"/>
      <c r="K87" s="2487"/>
      <c r="L87" s="2487"/>
      <c r="M87" s="2487"/>
      <c r="N87" s="2487"/>
      <c r="O87" s="2487"/>
      <c r="P87" s="2488">
        <v>24482</v>
      </c>
      <c r="Q87" s="2489"/>
      <c r="R87" s="2489"/>
      <c r="S87" s="2489"/>
      <c r="T87" s="2284">
        <f>ROUND(IPMT(($AA$3%+0.35%)/11,1,$D$219-$D$76+1,$P$220-(SUM($P$4:P86)))*-1,2)</f>
        <v>18231.259999999998</v>
      </c>
      <c r="U87" s="2284"/>
      <c r="V87" s="2284"/>
      <c r="W87" s="2284"/>
      <c r="X87" s="774"/>
      <c r="Y87" s="2494">
        <f>SUM(T76:W87)</f>
        <v>228249.64</v>
      </c>
      <c r="Z87" s="2495"/>
      <c r="AA87" s="774"/>
    </row>
    <row r="88" spans="1:27">
      <c r="A88" s="2496">
        <v>13</v>
      </c>
      <c r="B88" s="2497"/>
      <c r="C88" s="2497"/>
      <c r="D88" s="2498">
        <f>D76+1</f>
        <v>2020</v>
      </c>
      <c r="E88" s="2498"/>
      <c r="F88" s="2498"/>
      <c r="G88" s="2498"/>
      <c r="H88" s="2498" t="s">
        <v>295</v>
      </c>
      <c r="I88" s="2498"/>
      <c r="J88" s="2498"/>
      <c r="K88" s="2498"/>
      <c r="L88" s="2498"/>
      <c r="M88" s="2498"/>
      <c r="N88" s="2498"/>
      <c r="O88" s="2498"/>
      <c r="P88" s="2488">
        <v>24482</v>
      </c>
      <c r="Q88" s="2489"/>
      <c r="R88" s="2489"/>
      <c r="S88" s="2489"/>
      <c r="T88" s="2501">
        <f>ROUND(IPMT(($AA$3%+0.35%)/11,1,$D$219-$D$76+1,$P$220-(SUM($P$4:P87)))*-1,2)</f>
        <v>18087.71</v>
      </c>
      <c r="U88" s="2501"/>
      <c r="V88" s="2501"/>
      <c r="W88" s="2501"/>
      <c r="X88" s="774"/>
      <c r="Y88" s="772"/>
      <c r="Z88" s="772"/>
      <c r="AA88" s="774"/>
    </row>
    <row r="89" spans="1:27">
      <c r="A89" s="2280">
        <v>14</v>
      </c>
      <c r="B89" s="2483"/>
      <c r="C89" s="2483"/>
      <c r="D89" s="2487">
        <f>$D$88</f>
        <v>2020</v>
      </c>
      <c r="E89" s="2487"/>
      <c r="F89" s="2487"/>
      <c r="G89" s="2487"/>
      <c r="H89" s="2487" t="s">
        <v>296</v>
      </c>
      <c r="I89" s="2487"/>
      <c r="J89" s="2487"/>
      <c r="K89" s="2487"/>
      <c r="L89" s="2487"/>
      <c r="M89" s="2487"/>
      <c r="N89" s="2487"/>
      <c r="O89" s="2487"/>
      <c r="P89" s="2488">
        <v>24482</v>
      </c>
      <c r="Q89" s="2489"/>
      <c r="R89" s="2489"/>
      <c r="S89" s="2489"/>
      <c r="T89" s="2284">
        <f>ROUND(IPMT(($AA$3%+0.35%)/11,1,$D$219-$D$88+1,$P$220-(SUM($P$4:P88)))*-1,2)</f>
        <v>17944.150000000001</v>
      </c>
      <c r="U89" s="2284"/>
      <c r="V89" s="2284"/>
      <c r="W89" s="2284"/>
      <c r="X89" s="774"/>
      <c r="Y89" s="772"/>
      <c r="Z89" s="772"/>
      <c r="AA89" s="774"/>
    </row>
    <row r="90" spans="1:27">
      <c r="A90" s="2280">
        <v>15</v>
      </c>
      <c r="B90" s="2483"/>
      <c r="C90" s="2483"/>
      <c r="D90" s="2487">
        <f t="shared" ref="D90:D99" si="7">$D$88</f>
        <v>2020</v>
      </c>
      <c r="E90" s="2487"/>
      <c r="F90" s="2487"/>
      <c r="G90" s="2487"/>
      <c r="H90" s="2487" t="s">
        <v>297</v>
      </c>
      <c r="I90" s="2487"/>
      <c r="J90" s="2487"/>
      <c r="K90" s="2487"/>
      <c r="L90" s="2487"/>
      <c r="M90" s="2487"/>
      <c r="N90" s="2487"/>
      <c r="O90" s="2487"/>
      <c r="P90" s="2488">
        <v>24482</v>
      </c>
      <c r="Q90" s="2489"/>
      <c r="R90" s="2489"/>
      <c r="S90" s="2489"/>
      <c r="T90" s="2284">
        <f>ROUND(IPMT(($AA$3%+0.35%)/11,1,$D$219-$D$88+1,$P$220-(SUM($P$4:P89)))*-1,2)</f>
        <v>17800.599999999999</v>
      </c>
      <c r="U90" s="2284"/>
      <c r="V90" s="2284"/>
      <c r="W90" s="2284"/>
      <c r="X90" s="774"/>
      <c r="Y90" s="772"/>
      <c r="Z90" s="772"/>
      <c r="AA90" s="774"/>
    </row>
    <row r="91" spans="1:27">
      <c r="A91" s="2280">
        <v>16</v>
      </c>
      <c r="B91" s="2483"/>
      <c r="C91" s="2483"/>
      <c r="D91" s="2487">
        <f t="shared" si="7"/>
        <v>2020</v>
      </c>
      <c r="E91" s="2487"/>
      <c r="F91" s="2487"/>
      <c r="G91" s="2487"/>
      <c r="H91" s="2487" t="s">
        <v>298</v>
      </c>
      <c r="I91" s="2487"/>
      <c r="J91" s="2487"/>
      <c r="K91" s="2487"/>
      <c r="L91" s="2487"/>
      <c r="M91" s="2487"/>
      <c r="N91" s="2487"/>
      <c r="O91" s="2487"/>
      <c r="P91" s="2488">
        <v>24482</v>
      </c>
      <c r="Q91" s="2489"/>
      <c r="R91" s="2489"/>
      <c r="S91" s="2489"/>
      <c r="T91" s="2284">
        <f>ROUND(IPMT(($AA$3%+0.35%)/11,1,$D$219-$D$88+1,$P$220-(SUM($P$4:P90)))*-1,2)</f>
        <v>17657.05</v>
      </c>
      <c r="U91" s="2284"/>
      <c r="V91" s="2284"/>
      <c r="W91" s="2284"/>
      <c r="X91" s="774"/>
      <c r="Y91" s="772"/>
      <c r="Z91" s="772"/>
      <c r="AA91" s="774"/>
    </row>
    <row r="92" spans="1:27">
      <c r="A92" s="2280">
        <v>17</v>
      </c>
      <c r="B92" s="2483"/>
      <c r="C92" s="2483"/>
      <c r="D92" s="2487">
        <f t="shared" si="7"/>
        <v>2020</v>
      </c>
      <c r="E92" s="2487"/>
      <c r="F92" s="2487"/>
      <c r="G92" s="2487"/>
      <c r="H92" s="2487" t="s">
        <v>299</v>
      </c>
      <c r="I92" s="2487"/>
      <c r="J92" s="2487"/>
      <c r="K92" s="2487"/>
      <c r="L92" s="2487"/>
      <c r="M92" s="2487"/>
      <c r="N92" s="2487"/>
      <c r="O92" s="2487"/>
      <c r="P92" s="2488">
        <v>24482</v>
      </c>
      <c r="Q92" s="2489"/>
      <c r="R92" s="2489"/>
      <c r="S92" s="2489"/>
      <c r="T92" s="2284">
        <f>ROUND(IPMT(($AA$3%+0.35%)/11,1,$D$219-$D$88+1,$P$220-(SUM($P$4:P91)))*-1,2)</f>
        <v>17513.490000000002</v>
      </c>
      <c r="U92" s="2284"/>
      <c r="V92" s="2284"/>
      <c r="W92" s="2284"/>
      <c r="X92" s="774"/>
      <c r="Y92" s="772"/>
      <c r="Z92" s="772"/>
      <c r="AA92" s="774"/>
    </row>
    <row r="93" spans="1:27">
      <c r="A93" s="2280">
        <v>18</v>
      </c>
      <c r="B93" s="2483"/>
      <c r="C93" s="2483"/>
      <c r="D93" s="2487">
        <f t="shared" si="7"/>
        <v>2020</v>
      </c>
      <c r="E93" s="2487"/>
      <c r="F93" s="2487"/>
      <c r="G93" s="2487"/>
      <c r="H93" s="2487" t="s">
        <v>300</v>
      </c>
      <c r="I93" s="2487"/>
      <c r="J93" s="2487"/>
      <c r="K93" s="2487"/>
      <c r="L93" s="2487"/>
      <c r="M93" s="2487"/>
      <c r="N93" s="2487"/>
      <c r="O93" s="2487"/>
      <c r="P93" s="2488">
        <v>24482</v>
      </c>
      <c r="Q93" s="2489"/>
      <c r="R93" s="2489"/>
      <c r="S93" s="2489"/>
      <c r="T93" s="2284">
        <f>ROUND(IPMT(($AA$3%+0.35%)/11,1,$D$219-$D$88+1,$P$220-(SUM($P$4:P92)))*-1,2)</f>
        <v>17369.939999999999</v>
      </c>
      <c r="U93" s="2284"/>
      <c r="V93" s="2284"/>
      <c r="W93" s="2284"/>
      <c r="X93" s="774"/>
      <c r="Y93" s="772"/>
      <c r="Z93" s="772"/>
      <c r="AA93" s="774"/>
    </row>
    <row r="94" spans="1:27">
      <c r="A94" s="2280">
        <v>19</v>
      </c>
      <c r="B94" s="2483"/>
      <c r="C94" s="2483"/>
      <c r="D94" s="2487">
        <f t="shared" si="7"/>
        <v>2020</v>
      </c>
      <c r="E94" s="2487"/>
      <c r="F94" s="2487"/>
      <c r="G94" s="2487"/>
      <c r="H94" s="2487" t="s">
        <v>301</v>
      </c>
      <c r="I94" s="2487"/>
      <c r="J94" s="2487"/>
      <c r="K94" s="2487"/>
      <c r="L94" s="2487"/>
      <c r="M94" s="2487"/>
      <c r="N94" s="2487"/>
      <c r="O94" s="2487"/>
      <c r="P94" s="2488">
        <v>24482</v>
      </c>
      <c r="Q94" s="2489"/>
      <c r="R94" s="2489"/>
      <c r="S94" s="2489"/>
      <c r="T94" s="2284">
        <f>ROUND(IPMT(($AA$3%+0.35%)/11,1,$D$219-$D$88+1,$P$220-(SUM($P$4:P93)))*-1,2)</f>
        <v>17226.38</v>
      </c>
      <c r="U94" s="2284"/>
      <c r="V94" s="2284"/>
      <c r="W94" s="2284"/>
      <c r="X94" s="774"/>
      <c r="Y94" s="772"/>
      <c r="Z94" s="772"/>
      <c r="AA94" s="774"/>
    </row>
    <row r="95" spans="1:27">
      <c r="A95" s="2280">
        <v>20</v>
      </c>
      <c r="B95" s="2483"/>
      <c r="C95" s="2483"/>
      <c r="D95" s="2487">
        <f t="shared" si="7"/>
        <v>2020</v>
      </c>
      <c r="E95" s="2487"/>
      <c r="F95" s="2487"/>
      <c r="G95" s="2487"/>
      <c r="H95" s="2487" t="s">
        <v>302</v>
      </c>
      <c r="I95" s="2487"/>
      <c r="J95" s="2487"/>
      <c r="K95" s="2487"/>
      <c r="L95" s="2487"/>
      <c r="M95" s="2487"/>
      <c r="N95" s="2487"/>
      <c r="O95" s="2487"/>
      <c r="P95" s="2488">
        <v>24482</v>
      </c>
      <c r="Q95" s="2489"/>
      <c r="R95" s="2489"/>
      <c r="S95" s="2489"/>
      <c r="T95" s="2284">
        <f>ROUND(IPMT(($AA$3%+0.35%)/11,1,$D$219-$D$88+1,$P$220-(SUM($P$4:P94)))*-1,2)</f>
        <v>17082.830000000002</v>
      </c>
      <c r="U95" s="2284"/>
      <c r="V95" s="2284"/>
      <c r="W95" s="2284"/>
      <c r="X95" s="774"/>
      <c r="Y95" s="772"/>
      <c r="Z95" s="772"/>
      <c r="AA95" s="774"/>
    </row>
    <row r="96" spans="1:27">
      <c r="A96" s="2280">
        <v>21</v>
      </c>
      <c r="B96" s="2483"/>
      <c r="C96" s="2483"/>
      <c r="D96" s="2487">
        <f t="shared" si="7"/>
        <v>2020</v>
      </c>
      <c r="E96" s="2487"/>
      <c r="F96" s="2487"/>
      <c r="G96" s="2487"/>
      <c r="H96" s="2487" t="s">
        <v>303</v>
      </c>
      <c r="I96" s="2487"/>
      <c r="J96" s="2487"/>
      <c r="K96" s="2487"/>
      <c r="L96" s="2487"/>
      <c r="M96" s="2487"/>
      <c r="N96" s="2487"/>
      <c r="O96" s="2487"/>
      <c r="P96" s="2488">
        <v>24482</v>
      </c>
      <c r="Q96" s="2489"/>
      <c r="R96" s="2489"/>
      <c r="S96" s="2489"/>
      <c r="T96" s="2284">
        <f>ROUND(IPMT(($AA$3%+0.35%)/11,1,$D$219-$D$88+1,$P$220-(SUM($P$4:P95)))*-1,2)</f>
        <v>16939.28</v>
      </c>
      <c r="U96" s="2284"/>
      <c r="V96" s="2284"/>
      <c r="W96" s="2284"/>
      <c r="X96" s="774"/>
      <c r="Y96" s="772"/>
      <c r="Z96" s="772"/>
      <c r="AA96" s="774"/>
    </row>
    <row r="97" spans="1:27">
      <c r="A97" s="2280">
        <v>22</v>
      </c>
      <c r="B97" s="2483"/>
      <c r="C97" s="2483"/>
      <c r="D97" s="2487">
        <f t="shared" si="7"/>
        <v>2020</v>
      </c>
      <c r="E97" s="2487"/>
      <c r="F97" s="2487"/>
      <c r="G97" s="2487"/>
      <c r="H97" s="2487" t="s">
        <v>304</v>
      </c>
      <c r="I97" s="2487"/>
      <c r="J97" s="2487"/>
      <c r="K97" s="2487"/>
      <c r="L97" s="2487"/>
      <c r="M97" s="2487"/>
      <c r="N97" s="2487"/>
      <c r="O97" s="2487"/>
      <c r="P97" s="2488">
        <v>24482</v>
      </c>
      <c r="Q97" s="2489"/>
      <c r="R97" s="2489"/>
      <c r="S97" s="2489"/>
      <c r="T97" s="2284">
        <f>ROUND(IPMT(($AA$3%+0.35%)/11,1,$D$219-$D$88+1,$P$220-(SUM($P$4:P96)))*-1,2)</f>
        <v>16795.72</v>
      </c>
      <c r="U97" s="2284"/>
      <c r="V97" s="2284"/>
      <c r="W97" s="2284"/>
      <c r="X97" s="774"/>
      <c r="Y97" s="772"/>
      <c r="Z97" s="772"/>
      <c r="AA97" s="774"/>
    </row>
    <row r="98" spans="1:27">
      <c r="A98" s="2280">
        <v>23</v>
      </c>
      <c r="B98" s="2483"/>
      <c r="C98" s="2483"/>
      <c r="D98" s="2487">
        <f t="shared" si="7"/>
        <v>2020</v>
      </c>
      <c r="E98" s="2487"/>
      <c r="F98" s="2487"/>
      <c r="G98" s="2487"/>
      <c r="H98" s="2487" t="s">
        <v>305</v>
      </c>
      <c r="I98" s="2487"/>
      <c r="J98" s="2487"/>
      <c r="K98" s="2487"/>
      <c r="L98" s="2487"/>
      <c r="M98" s="2487"/>
      <c r="N98" s="2487"/>
      <c r="O98" s="2487"/>
      <c r="P98" s="2488">
        <v>24482</v>
      </c>
      <c r="Q98" s="2489"/>
      <c r="R98" s="2489"/>
      <c r="S98" s="2489"/>
      <c r="T98" s="2284">
        <f>ROUND(IPMT(($AA$3%+0.35%)/11,1,$D$219-$D$88+1,$P$220-(SUM($P$4:P97)))*-1,2)</f>
        <v>16652.169999999998</v>
      </c>
      <c r="U98" s="2284"/>
      <c r="V98" s="2284"/>
      <c r="W98" s="2284"/>
      <c r="X98" s="774"/>
      <c r="Y98" s="772"/>
      <c r="Z98" s="772"/>
      <c r="AA98" s="774"/>
    </row>
    <row r="99" spans="1:27">
      <c r="A99" s="2280">
        <v>24</v>
      </c>
      <c r="B99" s="2483"/>
      <c r="C99" s="2483"/>
      <c r="D99" s="2487">
        <f t="shared" si="7"/>
        <v>2020</v>
      </c>
      <c r="E99" s="2487"/>
      <c r="F99" s="2487"/>
      <c r="G99" s="2487"/>
      <c r="H99" s="2487" t="s">
        <v>306</v>
      </c>
      <c r="I99" s="2487"/>
      <c r="J99" s="2487"/>
      <c r="K99" s="2487"/>
      <c r="L99" s="2487"/>
      <c r="M99" s="2487"/>
      <c r="N99" s="2487"/>
      <c r="O99" s="2487"/>
      <c r="P99" s="2488">
        <v>24482</v>
      </c>
      <c r="Q99" s="2489"/>
      <c r="R99" s="2489"/>
      <c r="S99" s="2489"/>
      <c r="T99" s="2284">
        <f>ROUND(IPMT(($AA$3%+0.35%)/11,1,$D$219-$D$88+1,$P$220-(SUM($P$4:P98)))*-1,2)</f>
        <v>16508.62</v>
      </c>
      <c r="U99" s="2284"/>
      <c r="V99" s="2284"/>
      <c r="W99" s="2284"/>
      <c r="X99" s="774"/>
      <c r="Y99" s="2494">
        <f>SUM(T88:W99)</f>
        <v>207577.94</v>
      </c>
      <c r="Z99" s="2495"/>
      <c r="AA99" s="774"/>
    </row>
    <row r="100" spans="1:27">
      <c r="A100" s="2496">
        <v>25</v>
      </c>
      <c r="B100" s="2497"/>
      <c r="C100" s="2497"/>
      <c r="D100" s="2498">
        <f>D88+1</f>
        <v>2021</v>
      </c>
      <c r="E100" s="2498"/>
      <c r="F100" s="2498"/>
      <c r="G100" s="2498"/>
      <c r="H100" s="2498" t="s">
        <v>295</v>
      </c>
      <c r="I100" s="2498"/>
      <c r="J100" s="2498"/>
      <c r="K100" s="2498"/>
      <c r="L100" s="2498"/>
      <c r="M100" s="2498"/>
      <c r="N100" s="2498"/>
      <c r="O100" s="2498"/>
      <c r="P100" s="2488">
        <v>24482</v>
      </c>
      <c r="Q100" s="2489"/>
      <c r="R100" s="2489"/>
      <c r="S100" s="2489"/>
      <c r="T100" s="2501">
        <f>ROUND(IPMT(($AA$3%+0.35%)/11,1,$D$219-$D$88+1,$P$220-(SUM($P$4:P99)))*-1,2)</f>
        <v>16365.06</v>
      </c>
      <c r="U100" s="2501"/>
      <c r="V100" s="2501"/>
      <c r="W100" s="2501"/>
      <c r="X100" s="774"/>
      <c r="Y100" s="773"/>
      <c r="Z100" s="772"/>
      <c r="AA100" s="774"/>
    </row>
    <row r="101" spans="1:27">
      <c r="A101" s="2280">
        <v>26</v>
      </c>
      <c r="B101" s="2483"/>
      <c r="C101" s="2483"/>
      <c r="D101" s="2487">
        <f t="shared" ref="D101:D111" si="8">D89+1</f>
        <v>2021</v>
      </c>
      <c r="E101" s="2487"/>
      <c r="F101" s="2487"/>
      <c r="G101" s="2487"/>
      <c r="H101" s="2487" t="s">
        <v>296</v>
      </c>
      <c r="I101" s="2487"/>
      <c r="J101" s="2487"/>
      <c r="K101" s="2487"/>
      <c r="L101" s="2487"/>
      <c r="M101" s="2487"/>
      <c r="N101" s="2487"/>
      <c r="O101" s="2487"/>
      <c r="P101" s="2488">
        <v>24482</v>
      </c>
      <c r="Q101" s="2489"/>
      <c r="R101" s="2489"/>
      <c r="S101" s="2489"/>
      <c r="T101" s="2284">
        <f>ROUND(IPMT(($AA$3%+0.35%)/11,1,$D$219-$D$208+1,$P$220-(SUM($P$4:P100)))*-1,2)</f>
        <v>16221.51</v>
      </c>
      <c r="U101" s="2284"/>
      <c r="V101" s="2284"/>
      <c r="W101" s="2284"/>
      <c r="X101" s="774"/>
      <c r="Y101" s="773"/>
      <c r="Z101" s="772"/>
      <c r="AA101" s="774"/>
    </row>
    <row r="102" spans="1:27">
      <c r="A102" s="2280">
        <v>27</v>
      </c>
      <c r="B102" s="2483"/>
      <c r="C102" s="2483"/>
      <c r="D102" s="2487">
        <f t="shared" si="8"/>
        <v>2021</v>
      </c>
      <c r="E102" s="2487"/>
      <c r="F102" s="2487"/>
      <c r="G102" s="2487"/>
      <c r="H102" s="2487" t="s">
        <v>297</v>
      </c>
      <c r="I102" s="2487"/>
      <c r="J102" s="2487"/>
      <c r="K102" s="2487"/>
      <c r="L102" s="2487"/>
      <c r="M102" s="2487"/>
      <c r="N102" s="2487"/>
      <c r="O102" s="2487"/>
      <c r="P102" s="2488">
        <v>24482</v>
      </c>
      <c r="Q102" s="2489"/>
      <c r="R102" s="2489"/>
      <c r="S102" s="2489"/>
      <c r="T102" s="2284">
        <f>ROUND(IPMT(($AA$3%+0.35%)/11,1,$D$219-$D$208+1,$P$220-(SUM($P$4:P101)))*-1,2)</f>
        <v>16077.96</v>
      </c>
      <c r="U102" s="2284"/>
      <c r="V102" s="2284"/>
      <c r="W102" s="2284"/>
      <c r="X102" s="774"/>
      <c r="Y102" s="773"/>
      <c r="Z102" s="772"/>
      <c r="AA102" s="774"/>
    </row>
    <row r="103" spans="1:27">
      <c r="A103" s="2280">
        <v>28</v>
      </c>
      <c r="B103" s="2483"/>
      <c r="C103" s="2483"/>
      <c r="D103" s="2487">
        <f t="shared" si="8"/>
        <v>2021</v>
      </c>
      <c r="E103" s="2487"/>
      <c r="F103" s="2487"/>
      <c r="G103" s="2487"/>
      <c r="H103" s="2487" t="s">
        <v>298</v>
      </c>
      <c r="I103" s="2487"/>
      <c r="J103" s="2487"/>
      <c r="K103" s="2487"/>
      <c r="L103" s="2487"/>
      <c r="M103" s="2487"/>
      <c r="N103" s="2487"/>
      <c r="O103" s="2487"/>
      <c r="P103" s="2488">
        <v>24482</v>
      </c>
      <c r="Q103" s="2489"/>
      <c r="R103" s="2489"/>
      <c r="S103" s="2489"/>
      <c r="T103" s="2284">
        <f>ROUND(IPMT(($AA$3%+0.35%)/11,1,$D$219-$D$208+1,$P$220-(SUM($P$4:P102)))*-1,2)</f>
        <v>15934.4</v>
      </c>
      <c r="U103" s="2284"/>
      <c r="V103" s="2284"/>
      <c r="W103" s="2284"/>
      <c r="X103" s="774"/>
      <c r="Y103" s="773"/>
      <c r="Z103" s="772"/>
      <c r="AA103" s="774"/>
    </row>
    <row r="104" spans="1:27">
      <c r="A104" s="2280">
        <v>29</v>
      </c>
      <c r="B104" s="2483"/>
      <c r="C104" s="2483"/>
      <c r="D104" s="2487">
        <f t="shared" si="8"/>
        <v>2021</v>
      </c>
      <c r="E104" s="2487"/>
      <c r="F104" s="2487"/>
      <c r="G104" s="2487"/>
      <c r="H104" s="2487" t="s">
        <v>299</v>
      </c>
      <c r="I104" s="2487"/>
      <c r="J104" s="2487"/>
      <c r="K104" s="2487"/>
      <c r="L104" s="2487"/>
      <c r="M104" s="2487"/>
      <c r="N104" s="2487"/>
      <c r="O104" s="2487"/>
      <c r="P104" s="2488">
        <v>24482</v>
      </c>
      <c r="Q104" s="2489"/>
      <c r="R104" s="2489"/>
      <c r="S104" s="2489"/>
      <c r="T104" s="2284">
        <f>ROUND(IPMT(($AA$3%+0.35%)/11,1,$D$219-$D$208+1,$P$220-(SUM($P$4:P103)))*-1,2)</f>
        <v>15790.85</v>
      </c>
      <c r="U104" s="2284"/>
      <c r="V104" s="2284"/>
      <c r="W104" s="2284"/>
      <c r="X104" s="774"/>
      <c r="Y104" s="773"/>
      <c r="Z104" s="772"/>
      <c r="AA104" s="774"/>
    </row>
    <row r="105" spans="1:27">
      <c r="A105" s="2280">
        <v>30</v>
      </c>
      <c r="B105" s="2483"/>
      <c r="C105" s="2483"/>
      <c r="D105" s="2487">
        <f t="shared" si="8"/>
        <v>2021</v>
      </c>
      <c r="E105" s="2487"/>
      <c r="F105" s="2487"/>
      <c r="G105" s="2487"/>
      <c r="H105" s="2487" t="s">
        <v>300</v>
      </c>
      <c r="I105" s="2487"/>
      <c r="J105" s="2487"/>
      <c r="K105" s="2487"/>
      <c r="L105" s="2487"/>
      <c r="M105" s="2487"/>
      <c r="N105" s="2487"/>
      <c r="O105" s="2487"/>
      <c r="P105" s="2488">
        <v>24482</v>
      </c>
      <c r="Q105" s="2489"/>
      <c r="R105" s="2489"/>
      <c r="S105" s="2489"/>
      <c r="T105" s="2284">
        <f>ROUND(IPMT(($AA$3%+0.35%)/11,1,$D$219-$D$208+1,$P$220-(SUM($P$4:P104)))*-1,2)</f>
        <v>15647.3</v>
      </c>
      <c r="U105" s="2284"/>
      <c r="V105" s="2284"/>
      <c r="W105" s="2284"/>
      <c r="X105" s="774"/>
      <c r="Y105" s="773"/>
      <c r="Z105" s="772"/>
      <c r="AA105" s="774"/>
    </row>
    <row r="106" spans="1:27">
      <c r="A106" s="2280">
        <v>31</v>
      </c>
      <c r="B106" s="2483"/>
      <c r="C106" s="2483"/>
      <c r="D106" s="2487">
        <f t="shared" si="8"/>
        <v>2021</v>
      </c>
      <c r="E106" s="2487"/>
      <c r="F106" s="2487"/>
      <c r="G106" s="2487"/>
      <c r="H106" s="2487" t="s">
        <v>301</v>
      </c>
      <c r="I106" s="2487"/>
      <c r="J106" s="2487"/>
      <c r="K106" s="2487"/>
      <c r="L106" s="2487"/>
      <c r="M106" s="2487"/>
      <c r="N106" s="2487"/>
      <c r="O106" s="2487"/>
      <c r="P106" s="2488">
        <v>24482</v>
      </c>
      <c r="Q106" s="2489"/>
      <c r="R106" s="2489"/>
      <c r="S106" s="2489"/>
      <c r="T106" s="2284">
        <f>ROUND(IPMT(($AA$3%+0.35%)/11,1,$D$219-$D$208+1,$P$220-(SUM($P$4:P105)))*-1,2)</f>
        <v>15503.74</v>
      </c>
      <c r="U106" s="2284"/>
      <c r="V106" s="2284"/>
      <c r="W106" s="2284"/>
      <c r="X106" s="774"/>
      <c r="Y106" s="773"/>
      <c r="Z106" s="772"/>
      <c r="AA106" s="774"/>
    </row>
    <row r="107" spans="1:27">
      <c r="A107" s="2280">
        <v>32</v>
      </c>
      <c r="B107" s="2483"/>
      <c r="C107" s="2483"/>
      <c r="D107" s="2487">
        <f t="shared" si="8"/>
        <v>2021</v>
      </c>
      <c r="E107" s="2487"/>
      <c r="F107" s="2487"/>
      <c r="G107" s="2487"/>
      <c r="H107" s="2487" t="s">
        <v>302</v>
      </c>
      <c r="I107" s="2487"/>
      <c r="J107" s="2487"/>
      <c r="K107" s="2487"/>
      <c r="L107" s="2487"/>
      <c r="M107" s="2487"/>
      <c r="N107" s="2487"/>
      <c r="O107" s="2487"/>
      <c r="P107" s="2488">
        <v>24482</v>
      </c>
      <c r="Q107" s="2489"/>
      <c r="R107" s="2489"/>
      <c r="S107" s="2489"/>
      <c r="T107" s="2284">
        <f>ROUND(IPMT(($AA$3%+0.35%)/11,1,$D$219-$D$208+1,$P$220-(SUM($P$4:P106)))*-1,2)</f>
        <v>15360.19</v>
      </c>
      <c r="U107" s="2284"/>
      <c r="V107" s="2284"/>
      <c r="W107" s="2284"/>
      <c r="X107" s="774"/>
      <c r="Y107" s="773"/>
      <c r="Z107" s="772"/>
      <c r="AA107" s="774"/>
    </row>
    <row r="108" spans="1:27">
      <c r="A108" s="2280">
        <v>33</v>
      </c>
      <c r="B108" s="2483"/>
      <c r="C108" s="2483"/>
      <c r="D108" s="2487">
        <f t="shared" si="8"/>
        <v>2021</v>
      </c>
      <c r="E108" s="2487"/>
      <c r="F108" s="2487"/>
      <c r="G108" s="2487"/>
      <c r="H108" s="2487" t="s">
        <v>303</v>
      </c>
      <c r="I108" s="2487"/>
      <c r="J108" s="2487"/>
      <c r="K108" s="2487"/>
      <c r="L108" s="2487"/>
      <c r="M108" s="2487"/>
      <c r="N108" s="2487"/>
      <c r="O108" s="2487"/>
      <c r="P108" s="2488">
        <v>24482</v>
      </c>
      <c r="Q108" s="2489"/>
      <c r="R108" s="2489"/>
      <c r="S108" s="2489"/>
      <c r="T108" s="2284">
        <f>ROUND(IPMT(($AA$3%+0.35%)/11,1,$D$219-$D$208+1,$P$220-(SUM($P$4:P107)))*-1,2)</f>
        <v>15216.63</v>
      </c>
      <c r="U108" s="2284"/>
      <c r="V108" s="2284"/>
      <c r="W108" s="2284"/>
      <c r="X108" s="774"/>
      <c r="Y108" s="773"/>
      <c r="Z108" s="772"/>
      <c r="AA108" s="774"/>
    </row>
    <row r="109" spans="1:27">
      <c r="A109" s="2280">
        <v>34</v>
      </c>
      <c r="B109" s="2483"/>
      <c r="C109" s="2483"/>
      <c r="D109" s="2487">
        <f t="shared" si="8"/>
        <v>2021</v>
      </c>
      <c r="E109" s="2487"/>
      <c r="F109" s="2487"/>
      <c r="G109" s="2487"/>
      <c r="H109" s="2487" t="s">
        <v>304</v>
      </c>
      <c r="I109" s="2487"/>
      <c r="J109" s="2487"/>
      <c r="K109" s="2487"/>
      <c r="L109" s="2487"/>
      <c r="M109" s="2487"/>
      <c r="N109" s="2487"/>
      <c r="O109" s="2487"/>
      <c r="P109" s="2488">
        <v>24482</v>
      </c>
      <c r="Q109" s="2489"/>
      <c r="R109" s="2489"/>
      <c r="S109" s="2489"/>
      <c r="T109" s="2284">
        <f>ROUND(IPMT(($AA$3%+0.35%)/11,1,$D$219-$D$208+1,$P$220-(SUM($P$4:P108)))*-1,2)</f>
        <v>15073.08</v>
      </c>
      <c r="U109" s="2284"/>
      <c r="V109" s="2284"/>
      <c r="W109" s="2284"/>
      <c r="X109" s="774"/>
      <c r="Y109" s="773"/>
      <c r="Z109" s="772"/>
      <c r="AA109" s="774"/>
    </row>
    <row r="110" spans="1:27">
      <c r="A110" s="2280">
        <v>35</v>
      </c>
      <c r="B110" s="2483"/>
      <c r="C110" s="2483"/>
      <c r="D110" s="2487">
        <f t="shared" si="8"/>
        <v>2021</v>
      </c>
      <c r="E110" s="2487"/>
      <c r="F110" s="2487"/>
      <c r="G110" s="2487"/>
      <c r="H110" s="2487" t="s">
        <v>305</v>
      </c>
      <c r="I110" s="2487"/>
      <c r="J110" s="2487"/>
      <c r="K110" s="2487"/>
      <c r="L110" s="2487"/>
      <c r="M110" s="2487"/>
      <c r="N110" s="2487"/>
      <c r="O110" s="2487"/>
      <c r="P110" s="2488">
        <v>24482</v>
      </c>
      <c r="Q110" s="2489"/>
      <c r="R110" s="2489"/>
      <c r="S110" s="2489"/>
      <c r="T110" s="2284">
        <f>ROUND(IPMT(($AA$3%+0.35%)/11,1,$D$219-$D$208+1,$P$220-(SUM($P$4:P109)))*-1,2)</f>
        <v>14929.53</v>
      </c>
      <c r="U110" s="2284"/>
      <c r="V110" s="2284"/>
      <c r="W110" s="2284"/>
      <c r="X110" s="774"/>
      <c r="Y110" s="773"/>
      <c r="Z110" s="772"/>
      <c r="AA110" s="774"/>
    </row>
    <row r="111" spans="1:27">
      <c r="A111" s="2280">
        <v>36</v>
      </c>
      <c r="B111" s="2483"/>
      <c r="C111" s="2483"/>
      <c r="D111" s="2487">
        <f t="shared" si="8"/>
        <v>2021</v>
      </c>
      <c r="E111" s="2487"/>
      <c r="F111" s="2487"/>
      <c r="G111" s="2487"/>
      <c r="H111" s="2502" t="s">
        <v>306</v>
      </c>
      <c r="I111" s="2502"/>
      <c r="J111" s="2502"/>
      <c r="K111" s="2502"/>
      <c r="L111" s="2502"/>
      <c r="M111" s="2502"/>
      <c r="N111" s="2502"/>
      <c r="O111" s="2502"/>
      <c r="P111" s="2488">
        <v>24482</v>
      </c>
      <c r="Q111" s="2489"/>
      <c r="R111" s="2489"/>
      <c r="S111" s="2489"/>
      <c r="T111" s="2279">
        <f>ROUND(IPMT(($AA$3%+0.35%)/11,1,$D$219-$D$208+1,$P$220-(SUM($P$4:P110)))*-1,2)</f>
        <v>14785.97</v>
      </c>
      <c r="U111" s="2279"/>
      <c r="V111" s="2279"/>
      <c r="W111" s="2279"/>
      <c r="X111" s="774"/>
      <c r="Y111" s="2494">
        <f>SUM(T100:W111)</f>
        <v>186906.22</v>
      </c>
      <c r="Z111" s="2495"/>
      <c r="AA111" s="774"/>
    </row>
    <row r="112" spans="1:27">
      <c r="A112" s="2496">
        <v>37</v>
      </c>
      <c r="B112" s="2497"/>
      <c r="C112" s="2497"/>
      <c r="D112" s="2498">
        <f>D100+1</f>
        <v>2022</v>
      </c>
      <c r="E112" s="2498"/>
      <c r="F112" s="2498"/>
      <c r="G112" s="2498"/>
      <c r="H112" s="2498" t="s">
        <v>295</v>
      </c>
      <c r="I112" s="2498"/>
      <c r="J112" s="2498"/>
      <c r="K112" s="2498"/>
      <c r="L112" s="2498"/>
      <c r="M112" s="2498"/>
      <c r="N112" s="2498"/>
      <c r="O112" s="2498"/>
      <c r="P112" s="2488">
        <v>24482</v>
      </c>
      <c r="Q112" s="2489"/>
      <c r="R112" s="2489"/>
      <c r="S112" s="2489"/>
      <c r="T112" s="2501">
        <f>ROUND(IPMT(($AA$3%+0.35%)/11,1,$D$219-$D$88+1,$P$220-(SUM($P$4:P111)))*-1,2)</f>
        <v>14642.42</v>
      </c>
      <c r="U112" s="2501"/>
      <c r="V112" s="2501"/>
      <c r="W112" s="2501"/>
      <c r="X112" s="774"/>
      <c r="Y112" s="773"/>
      <c r="Z112" s="772"/>
      <c r="AA112" s="774"/>
    </row>
    <row r="113" spans="1:27">
      <c r="A113" s="2280">
        <v>38</v>
      </c>
      <c r="B113" s="2483"/>
      <c r="C113" s="2483"/>
      <c r="D113" s="2487">
        <f t="shared" ref="D113:D123" si="9">D101+1</f>
        <v>2022</v>
      </c>
      <c r="E113" s="2487"/>
      <c r="F113" s="2487"/>
      <c r="G113" s="2487"/>
      <c r="H113" s="2487" t="s">
        <v>296</v>
      </c>
      <c r="I113" s="2487"/>
      <c r="J113" s="2487"/>
      <c r="K113" s="2487"/>
      <c r="L113" s="2487"/>
      <c r="M113" s="2487"/>
      <c r="N113" s="2487"/>
      <c r="O113" s="2487"/>
      <c r="P113" s="2488">
        <v>24482</v>
      </c>
      <c r="Q113" s="2489"/>
      <c r="R113" s="2489"/>
      <c r="S113" s="2489"/>
      <c r="T113" s="2284">
        <f>ROUND(IPMT(($AA$3%+0.35%)/11,1,$D$219-$D$208+1,$P$220-(SUM($P$4:P112)))*-1,2)</f>
        <v>14498.87</v>
      </c>
      <c r="U113" s="2284"/>
      <c r="V113" s="2284"/>
      <c r="W113" s="2284"/>
      <c r="X113" s="774"/>
      <c r="Y113" s="773"/>
      <c r="Z113" s="772"/>
      <c r="AA113" s="774"/>
    </row>
    <row r="114" spans="1:27">
      <c r="A114" s="2280">
        <v>39</v>
      </c>
      <c r="B114" s="2483"/>
      <c r="C114" s="2483"/>
      <c r="D114" s="2487">
        <f t="shared" si="9"/>
        <v>2022</v>
      </c>
      <c r="E114" s="2487"/>
      <c r="F114" s="2487"/>
      <c r="G114" s="2487"/>
      <c r="H114" s="2487" t="s">
        <v>297</v>
      </c>
      <c r="I114" s="2487"/>
      <c r="J114" s="2487"/>
      <c r="K114" s="2487"/>
      <c r="L114" s="2487"/>
      <c r="M114" s="2487"/>
      <c r="N114" s="2487"/>
      <c r="O114" s="2487"/>
      <c r="P114" s="2488">
        <v>24482</v>
      </c>
      <c r="Q114" s="2489"/>
      <c r="R114" s="2489"/>
      <c r="S114" s="2489"/>
      <c r="T114" s="2284">
        <f>ROUND(IPMT(($AA$3%+0.35%)/11,1,$D$219-$D$208+1,$P$220-(SUM($P$4:P113)))*-1,2)</f>
        <v>14355.31</v>
      </c>
      <c r="U114" s="2284"/>
      <c r="V114" s="2284"/>
      <c r="W114" s="2284"/>
      <c r="X114" s="774"/>
      <c r="Y114" s="773"/>
      <c r="Z114" s="772"/>
      <c r="AA114" s="774"/>
    </row>
    <row r="115" spans="1:27">
      <c r="A115" s="2280">
        <v>40</v>
      </c>
      <c r="B115" s="2483"/>
      <c r="C115" s="2483"/>
      <c r="D115" s="2487">
        <f t="shared" si="9"/>
        <v>2022</v>
      </c>
      <c r="E115" s="2487"/>
      <c r="F115" s="2487"/>
      <c r="G115" s="2487"/>
      <c r="H115" s="2487" t="s">
        <v>298</v>
      </c>
      <c r="I115" s="2487"/>
      <c r="J115" s="2487"/>
      <c r="K115" s="2487"/>
      <c r="L115" s="2487"/>
      <c r="M115" s="2487"/>
      <c r="N115" s="2487"/>
      <c r="O115" s="2487"/>
      <c r="P115" s="2488">
        <v>24482</v>
      </c>
      <c r="Q115" s="2489"/>
      <c r="R115" s="2489"/>
      <c r="S115" s="2489"/>
      <c r="T115" s="2284">
        <f>ROUND(IPMT(($AA$3%+0.35%)/11,1,$D$219-$D$208+1,$P$220-(SUM($P$4:P114)))*-1,2)</f>
        <v>14211.76</v>
      </c>
      <c r="U115" s="2284"/>
      <c r="V115" s="2284"/>
      <c r="W115" s="2284"/>
      <c r="X115" s="774"/>
      <c r="Y115" s="773"/>
      <c r="Z115" s="772"/>
      <c r="AA115" s="774"/>
    </row>
    <row r="116" spans="1:27">
      <c r="A116" s="2280">
        <v>41</v>
      </c>
      <c r="B116" s="2483"/>
      <c r="C116" s="2483"/>
      <c r="D116" s="2487">
        <f t="shared" si="9"/>
        <v>2022</v>
      </c>
      <c r="E116" s="2487"/>
      <c r="F116" s="2487"/>
      <c r="G116" s="2487"/>
      <c r="H116" s="2487" t="s">
        <v>299</v>
      </c>
      <c r="I116" s="2487"/>
      <c r="J116" s="2487"/>
      <c r="K116" s="2487"/>
      <c r="L116" s="2487"/>
      <c r="M116" s="2487"/>
      <c r="N116" s="2487"/>
      <c r="O116" s="2487"/>
      <c r="P116" s="2488">
        <v>24482</v>
      </c>
      <c r="Q116" s="2489"/>
      <c r="R116" s="2489"/>
      <c r="S116" s="2489"/>
      <c r="T116" s="2284">
        <f>ROUND(IPMT(($AA$3%+0.35%)/11,1,$D$219-$D$208+1,$P$220-(SUM($P$4:P115)))*-1,2)</f>
        <v>14068.21</v>
      </c>
      <c r="U116" s="2284"/>
      <c r="V116" s="2284"/>
      <c r="W116" s="2284"/>
      <c r="X116" s="774"/>
      <c r="Y116" s="773"/>
      <c r="Z116" s="772"/>
      <c r="AA116" s="774"/>
    </row>
    <row r="117" spans="1:27">
      <c r="A117" s="2280">
        <v>42</v>
      </c>
      <c r="B117" s="2483"/>
      <c r="C117" s="2483"/>
      <c r="D117" s="2487">
        <f t="shared" si="9"/>
        <v>2022</v>
      </c>
      <c r="E117" s="2487"/>
      <c r="F117" s="2487"/>
      <c r="G117" s="2487"/>
      <c r="H117" s="2487" t="s">
        <v>300</v>
      </c>
      <c r="I117" s="2487"/>
      <c r="J117" s="2487"/>
      <c r="K117" s="2487"/>
      <c r="L117" s="2487"/>
      <c r="M117" s="2487"/>
      <c r="N117" s="2487"/>
      <c r="O117" s="2487"/>
      <c r="P117" s="2488">
        <v>24482</v>
      </c>
      <c r="Q117" s="2489"/>
      <c r="R117" s="2489"/>
      <c r="S117" s="2489"/>
      <c r="T117" s="2284">
        <f>ROUND(IPMT(($AA$3%+0.35%)/11,1,$D$219-$D$208+1,$P$220-(SUM($P$4:P116)))*-1,2)</f>
        <v>13924.65</v>
      </c>
      <c r="U117" s="2284"/>
      <c r="V117" s="2284"/>
      <c r="W117" s="2284"/>
      <c r="X117" s="774"/>
      <c r="Y117" s="773"/>
      <c r="Z117" s="772"/>
      <c r="AA117" s="774"/>
    </row>
    <row r="118" spans="1:27">
      <c r="A118" s="2280">
        <v>43</v>
      </c>
      <c r="B118" s="2483"/>
      <c r="C118" s="2483"/>
      <c r="D118" s="2487">
        <f t="shared" si="9"/>
        <v>2022</v>
      </c>
      <c r="E118" s="2487"/>
      <c r="F118" s="2487"/>
      <c r="G118" s="2487"/>
      <c r="H118" s="2487" t="s">
        <v>301</v>
      </c>
      <c r="I118" s="2487"/>
      <c r="J118" s="2487"/>
      <c r="K118" s="2487"/>
      <c r="L118" s="2487"/>
      <c r="M118" s="2487"/>
      <c r="N118" s="2487"/>
      <c r="O118" s="2487"/>
      <c r="P118" s="2488">
        <v>24482</v>
      </c>
      <c r="Q118" s="2489"/>
      <c r="R118" s="2489"/>
      <c r="S118" s="2489"/>
      <c r="T118" s="2284">
        <f>ROUND(IPMT(($AA$3%+0.35%)/11,1,$D$219-$D$208+1,$P$220-(SUM($P$4:P117)))*-1,2)</f>
        <v>13781.1</v>
      </c>
      <c r="U118" s="2284"/>
      <c r="V118" s="2284"/>
      <c r="W118" s="2284"/>
      <c r="X118" s="774"/>
      <c r="Y118" s="773"/>
      <c r="Z118" s="772"/>
      <c r="AA118" s="774"/>
    </row>
    <row r="119" spans="1:27">
      <c r="A119" s="2280">
        <v>44</v>
      </c>
      <c r="B119" s="2483"/>
      <c r="C119" s="2483"/>
      <c r="D119" s="2487">
        <f t="shared" si="9"/>
        <v>2022</v>
      </c>
      <c r="E119" s="2487"/>
      <c r="F119" s="2487"/>
      <c r="G119" s="2487"/>
      <c r="H119" s="2487" t="s">
        <v>302</v>
      </c>
      <c r="I119" s="2487"/>
      <c r="J119" s="2487"/>
      <c r="K119" s="2487"/>
      <c r="L119" s="2487"/>
      <c r="M119" s="2487"/>
      <c r="N119" s="2487"/>
      <c r="O119" s="2487"/>
      <c r="P119" s="2488">
        <v>24482</v>
      </c>
      <c r="Q119" s="2489"/>
      <c r="R119" s="2489"/>
      <c r="S119" s="2489"/>
      <c r="T119" s="2284">
        <f>ROUND(IPMT(($AA$3%+0.35%)/11,1,$D$219-$D$208+1,$P$220-(SUM($P$4:P118)))*-1,2)</f>
        <v>13637.55</v>
      </c>
      <c r="U119" s="2284"/>
      <c r="V119" s="2284"/>
      <c r="W119" s="2284"/>
      <c r="X119" s="774"/>
      <c r="Y119" s="773"/>
      <c r="Z119" s="772"/>
      <c r="AA119" s="774"/>
    </row>
    <row r="120" spans="1:27">
      <c r="A120" s="2280">
        <v>45</v>
      </c>
      <c r="B120" s="2483"/>
      <c r="C120" s="2483"/>
      <c r="D120" s="2487">
        <f t="shared" si="9"/>
        <v>2022</v>
      </c>
      <c r="E120" s="2487"/>
      <c r="F120" s="2487"/>
      <c r="G120" s="2487"/>
      <c r="H120" s="2487" t="s">
        <v>303</v>
      </c>
      <c r="I120" s="2487"/>
      <c r="J120" s="2487"/>
      <c r="K120" s="2487"/>
      <c r="L120" s="2487"/>
      <c r="M120" s="2487"/>
      <c r="N120" s="2487"/>
      <c r="O120" s="2487"/>
      <c r="P120" s="2488">
        <v>24482</v>
      </c>
      <c r="Q120" s="2489"/>
      <c r="R120" s="2489"/>
      <c r="S120" s="2489"/>
      <c r="T120" s="2284">
        <f>ROUND(IPMT(($AA$3%+0.35%)/11,1,$D$219-$D$208+1,$P$220-(SUM($P$4:P119)))*-1,2)</f>
        <v>13493.99</v>
      </c>
      <c r="U120" s="2284"/>
      <c r="V120" s="2284"/>
      <c r="W120" s="2284"/>
      <c r="X120" s="774"/>
      <c r="Y120" s="773"/>
      <c r="Z120" s="772"/>
      <c r="AA120" s="774"/>
    </row>
    <row r="121" spans="1:27">
      <c r="A121" s="2280">
        <v>46</v>
      </c>
      <c r="B121" s="2483"/>
      <c r="C121" s="2483"/>
      <c r="D121" s="2487">
        <f t="shared" si="9"/>
        <v>2022</v>
      </c>
      <c r="E121" s="2487"/>
      <c r="F121" s="2487"/>
      <c r="G121" s="2487"/>
      <c r="H121" s="2487" t="s">
        <v>304</v>
      </c>
      <c r="I121" s="2487"/>
      <c r="J121" s="2487"/>
      <c r="K121" s="2487"/>
      <c r="L121" s="2487"/>
      <c r="M121" s="2487"/>
      <c r="N121" s="2487"/>
      <c r="O121" s="2487"/>
      <c r="P121" s="2488">
        <v>24482</v>
      </c>
      <c r="Q121" s="2489"/>
      <c r="R121" s="2489"/>
      <c r="S121" s="2489"/>
      <c r="T121" s="2284">
        <f>ROUND(IPMT(($AA$3%+0.35%)/11,1,$D$219-$D$208+1,$P$220-(SUM($P$4:P120)))*-1,2)</f>
        <v>13350.44</v>
      </c>
      <c r="U121" s="2284"/>
      <c r="V121" s="2284"/>
      <c r="W121" s="2284"/>
      <c r="X121" s="774"/>
      <c r="Y121" s="773"/>
      <c r="Z121" s="772"/>
      <c r="AA121" s="774"/>
    </row>
    <row r="122" spans="1:27">
      <c r="A122" s="2280">
        <v>47</v>
      </c>
      <c r="B122" s="2483"/>
      <c r="C122" s="2483"/>
      <c r="D122" s="2487">
        <f t="shared" si="9"/>
        <v>2022</v>
      </c>
      <c r="E122" s="2487"/>
      <c r="F122" s="2487"/>
      <c r="G122" s="2487"/>
      <c r="H122" s="2487" t="s">
        <v>305</v>
      </c>
      <c r="I122" s="2487"/>
      <c r="J122" s="2487"/>
      <c r="K122" s="2487"/>
      <c r="L122" s="2487"/>
      <c r="M122" s="2487"/>
      <c r="N122" s="2487"/>
      <c r="O122" s="2487"/>
      <c r="P122" s="2488">
        <v>24482</v>
      </c>
      <c r="Q122" s="2489"/>
      <c r="R122" s="2489"/>
      <c r="S122" s="2489"/>
      <c r="T122" s="2284">
        <f>ROUND(IPMT(($AA$3%+0.35%)/11,1,$D$219-$D$208+1,$P$220-(SUM($P$4:P121)))*-1,2)</f>
        <v>13206.89</v>
      </c>
      <c r="U122" s="2284"/>
      <c r="V122" s="2284"/>
      <c r="W122" s="2284"/>
      <c r="X122" s="774"/>
      <c r="Y122" s="773"/>
      <c r="Z122" s="772"/>
      <c r="AA122" s="774"/>
    </row>
    <row r="123" spans="1:27">
      <c r="A123" s="2280">
        <v>48</v>
      </c>
      <c r="B123" s="2483"/>
      <c r="C123" s="2483"/>
      <c r="D123" s="2487">
        <f t="shared" si="9"/>
        <v>2022</v>
      </c>
      <c r="E123" s="2487"/>
      <c r="F123" s="2487"/>
      <c r="G123" s="2487"/>
      <c r="H123" s="2502" t="s">
        <v>306</v>
      </c>
      <c r="I123" s="2502"/>
      <c r="J123" s="2502"/>
      <c r="K123" s="2502"/>
      <c r="L123" s="2502"/>
      <c r="M123" s="2502"/>
      <c r="N123" s="2502"/>
      <c r="O123" s="2502"/>
      <c r="P123" s="2488">
        <v>24482</v>
      </c>
      <c r="Q123" s="2489"/>
      <c r="R123" s="2489"/>
      <c r="S123" s="2489"/>
      <c r="T123" s="2279">
        <f>ROUND(IPMT(($AA$3%+0.35%)/11,1,$D$219-$D$208+1,$P$220-(SUM($P$4:P122)))*-1,2)</f>
        <v>13063.33</v>
      </c>
      <c r="U123" s="2279"/>
      <c r="V123" s="2279"/>
      <c r="W123" s="2279"/>
      <c r="X123" s="774"/>
      <c r="Y123" s="2494">
        <f>SUM(T112:W123)</f>
        <v>166234.51999999999</v>
      </c>
      <c r="Z123" s="2495"/>
      <c r="AA123" s="774"/>
    </row>
    <row r="124" spans="1:27">
      <c r="A124" s="2496">
        <v>37</v>
      </c>
      <c r="B124" s="2497"/>
      <c r="C124" s="2497"/>
      <c r="D124" s="2498">
        <f>D112+1</f>
        <v>2023</v>
      </c>
      <c r="E124" s="2498"/>
      <c r="F124" s="2498"/>
      <c r="G124" s="2498"/>
      <c r="H124" s="2498" t="s">
        <v>295</v>
      </c>
      <c r="I124" s="2498"/>
      <c r="J124" s="2498"/>
      <c r="K124" s="2498"/>
      <c r="L124" s="2498"/>
      <c r="M124" s="2498"/>
      <c r="N124" s="2498"/>
      <c r="O124" s="2498"/>
      <c r="P124" s="2488">
        <v>24482</v>
      </c>
      <c r="Q124" s="2489"/>
      <c r="R124" s="2489"/>
      <c r="S124" s="2489"/>
      <c r="T124" s="2501">
        <f>ROUND(IPMT(($AA$3%+0.35%)/11,1,$D$219-$D$88+1,$P$220-(SUM($P$4:P123)))*-1,2)</f>
        <v>12919.78</v>
      </c>
      <c r="U124" s="2501"/>
      <c r="V124" s="2501"/>
      <c r="W124" s="2501"/>
      <c r="X124" s="774"/>
      <c r="Y124" s="773"/>
      <c r="Z124" s="772"/>
      <c r="AA124" s="774"/>
    </row>
    <row r="125" spans="1:27">
      <c r="A125" s="2280">
        <v>38</v>
      </c>
      <c r="B125" s="2483"/>
      <c r="C125" s="2483"/>
      <c r="D125" s="2487">
        <f t="shared" ref="D125:D135" si="10">D113+1</f>
        <v>2023</v>
      </c>
      <c r="E125" s="2487"/>
      <c r="F125" s="2487"/>
      <c r="G125" s="2487"/>
      <c r="H125" s="2487" t="s">
        <v>296</v>
      </c>
      <c r="I125" s="2487"/>
      <c r="J125" s="2487"/>
      <c r="K125" s="2487"/>
      <c r="L125" s="2487"/>
      <c r="M125" s="2487"/>
      <c r="N125" s="2487"/>
      <c r="O125" s="2487"/>
      <c r="P125" s="2488">
        <v>24482</v>
      </c>
      <c r="Q125" s="2489"/>
      <c r="R125" s="2489"/>
      <c r="S125" s="2489"/>
      <c r="T125" s="2284">
        <f>ROUND(IPMT(($AA$3%+0.35%)/11,1,$D$219-$D$208+1,$P$220-(SUM($P$4:P124)))*-1,2)</f>
        <v>12776.22</v>
      </c>
      <c r="U125" s="2284"/>
      <c r="V125" s="2284"/>
      <c r="W125" s="2284"/>
      <c r="X125" s="774"/>
      <c r="Y125" s="773"/>
      <c r="Z125" s="772"/>
      <c r="AA125" s="774"/>
    </row>
    <row r="126" spans="1:27">
      <c r="A126" s="2280">
        <v>39</v>
      </c>
      <c r="B126" s="2483"/>
      <c r="C126" s="2483"/>
      <c r="D126" s="2487">
        <f t="shared" si="10"/>
        <v>2023</v>
      </c>
      <c r="E126" s="2487"/>
      <c r="F126" s="2487"/>
      <c r="G126" s="2487"/>
      <c r="H126" s="2487" t="s">
        <v>297</v>
      </c>
      <c r="I126" s="2487"/>
      <c r="J126" s="2487"/>
      <c r="K126" s="2487"/>
      <c r="L126" s="2487"/>
      <c r="M126" s="2487"/>
      <c r="N126" s="2487"/>
      <c r="O126" s="2487"/>
      <c r="P126" s="2488">
        <v>24482</v>
      </c>
      <c r="Q126" s="2489"/>
      <c r="R126" s="2489"/>
      <c r="S126" s="2489"/>
      <c r="T126" s="2284">
        <f>ROUND(IPMT(($AA$3%+0.35%)/11,1,$D$219-$D$208+1,$P$220-(SUM($P$4:P125)))*-1,2)</f>
        <v>12632.67</v>
      </c>
      <c r="U126" s="2284"/>
      <c r="V126" s="2284"/>
      <c r="W126" s="2284"/>
      <c r="X126" s="774"/>
      <c r="Y126" s="773"/>
      <c r="Z126" s="772"/>
      <c r="AA126" s="774"/>
    </row>
    <row r="127" spans="1:27">
      <c r="A127" s="2280">
        <v>40</v>
      </c>
      <c r="B127" s="2483"/>
      <c r="C127" s="2483"/>
      <c r="D127" s="2487">
        <f t="shared" si="10"/>
        <v>2023</v>
      </c>
      <c r="E127" s="2487"/>
      <c r="F127" s="2487"/>
      <c r="G127" s="2487"/>
      <c r="H127" s="2487" t="s">
        <v>298</v>
      </c>
      <c r="I127" s="2487"/>
      <c r="J127" s="2487"/>
      <c r="K127" s="2487"/>
      <c r="L127" s="2487"/>
      <c r="M127" s="2487"/>
      <c r="N127" s="2487"/>
      <c r="O127" s="2487"/>
      <c r="P127" s="2488">
        <v>24482</v>
      </c>
      <c r="Q127" s="2489"/>
      <c r="R127" s="2489"/>
      <c r="S127" s="2489"/>
      <c r="T127" s="2284">
        <f>ROUND(IPMT(($AA$3%+0.35%)/11,1,$D$219-$D$208+1,$P$220-(SUM($P$4:P126)))*-1,2)</f>
        <v>12489.12</v>
      </c>
      <c r="U127" s="2284"/>
      <c r="V127" s="2284"/>
      <c r="W127" s="2284"/>
      <c r="X127" s="774"/>
      <c r="Y127" s="773"/>
      <c r="Z127" s="772"/>
      <c r="AA127" s="774"/>
    </row>
    <row r="128" spans="1:27">
      <c r="A128" s="2280">
        <v>41</v>
      </c>
      <c r="B128" s="2483"/>
      <c r="C128" s="2483"/>
      <c r="D128" s="2487">
        <f t="shared" si="10"/>
        <v>2023</v>
      </c>
      <c r="E128" s="2487"/>
      <c r="F128" s="2487"/>
      <c r="G128" s="2487"/>
      <c r="H128" s="2487" t="s">
        <v>299</v>
      </c>
      <c r="I128" s="2487"/>
      <c r="J128" s="2487"/>
      <c r="K128" s="2487"/>
      <c r="L128" s="2487"/>
      <c r="M128" s="2487"/>
      <c r="N128" s="2487"/>
      <c r="O128" s="2487"/>
      <c r="P128" s="2488">
        <v>24482</v>
      </c>
      <c r="Q128" s="2489"/>
      <c r="R128" s="2489"/>
      <c r="S128" s="2489"/>
      <c r="T128" s="2284">
        <f>ROUND(IPMT(($AA$3%+0.35%)/11,1,$D$219-$D$208+1,$P$220-(SUM($P$4:P127)))*-1,2)</f>
        <v>12345.56</v>
      </c>
      <c r="U128" s="2284"/>
      <c r="V128" s="2284"/>
      <c r="W128" s="2284"/>
      <c r="X128" s="774"/>
      <c r="Y128" s="773"/>
      <c r="Z128" s="772"/>
      <c r="AA128" s="774"/>
    </row>
    <row r="129" spans="1:27">
      <c r="A129" s="2280">
        <v>42</v>
      </c>
      <c r="B129" s="2483"/>
      <c r="C129" s="2483"/>
      <c r="D129" s="2487">
        <f t="shared" si="10"/>
        <v>2023</v>
      </c>
      <c r="E129" s="2487"/>
      <c r="F129" s="2487"/>
      <c r="G129" s="2487"/>
      <c r="H129" s="2487" t="s">
        <v>300</v>
      </c>
      <c r="I129" s="2487"/>
      <c r="J129" s="2487"/>
      <c r="K129" s="2487"/>
      <c r="L129" s="2487"/>
      <c r="M129" s="2487"/>
      <c r="N129" s="2487"/>
      <c r="O129" s="2487"/>
      <c r="P129" s="2488">
        <v>24482</v>
      </c>
      <c r="Q129" s="2489"/>
      <c r="R129" s="2489"/>
      <c r="S129" s="2489"/>
      <c r="T129" s="2284">
        <f>ROUND(IPMT(($AA$3%+0.35%)/11,1,$D$219-$D$208+1,$P$220-(SUM($P$4:P128)))*-1,2)</f>
        <v>12202.01</v>
      </c>
      <c r="U129" s="2284"/>
      <c r="V129" s="2284"/>
      <c r="W129" s="2284"/>
      <c r="X129" s="774"/>
      <c r="Y129" s="773"/>
      <c r="Z129" s="772"/>
      <c r="AA129" s="774"/>
    </row>
    <row r="130" spans="1:27">
      <c r="A130" s="2280">
        <v>43</v>
      </c>
      <c r="B130" s="2483"/>
      <c r="C130" s="2483"/>
      <c r="D130" s="2487">
        <f t="shared" si="10"/>
        <v>2023</v>
      </c>
      <c r="E130" s="2487"/>
      <c r="F130" s="2487"/>
      <c r="G130" s="2487"/>
      <c r="H130" s="2487" t="s">
        <v>301</v>
      </c>
      <c r="I130" s="2487"/>
      <c r="J130" s="2487"/>
      <c r="K130" s="2487"/>
      <c r="L130" s="2487"/>
      <c r="M130" s="2487"/>
      <c r="N130" s="2487"/>
      <c r="O130" s="2487"/>
      <c r="P130" s="2488">
        <v>24482</v>
      </c>
      <c r="Q130" s="2489"/>
      <c r="R130" s="2489"/>
      <c r="S130" s="2489"/>
      <c r="T130" s="2284">
        <f>ROUND(IPMT(($AA$3%+0.35%)/11,1,$D$219-$D$208+1,$P$220-(SUM($P$4:P129)))*-1,2)</f>
        <v>12058.46</v>
      </c>
      <c r="U130" s="2284"/>
      <c r="V130" s="2284"/>
      <c r="W130" s="2284"/>
      <c r="X130" s="774"/>
      <c r="Y130" s="773"/>
      <c r="Z130" s="772"/>
      <c r="AA130" s="774"/>
    </row>
    <row r="131" spans="1:27">
      <c r="A131" s="2280">
        <v>44</v>
      </c>
      <c r="B131" s="2483"/>
      <c r="C131" s="2483"/>
      <c r="D131" s="2487">
        <f t="shared" si="10"/>
        <v>2023</v>
      </c>
      <c r="E131" s="2487"/>
      <c r="F131" s="2487"/>
      <c r="G131" s="2487"/>
      <c r="H131" s="2487" t="s">
        <v>302</v>
      </c>
      <c r="I131" s="2487"/>
      <c r="J131" s="2487"/>
      <c r="K131" s="2487"/>
      <c r="L131" s="2487"/>
      <c r="M131" s="2487"/>
      <c r="N131" s="2487"/>
      <c r="O131" s="2487"/>
      <c r="P131" s="2488">
        <v>24482</v>
      </c>
      <c r="Q131" s="2489"/>
      <c r="R131" s="2489"/>
      <c r="S131" s="2489"/>
      <c r="T131" s="2284">
        <f>ROUND(IPMT(($AA$3%+0.35%)/11,1,$D$219-$D$208+1,$P$220-(SUM($P$4:P130)))*-1,2)</f>
        <v>11914.9</v>
      </c>
      <c r="U131" s="2284"/>
      <c r="V131" s="2284"/>
      <c r="W131" s="2284"/>
      <c r="X131" s="774"/>
      <c r="Y131" s="773"/>
      <c r="Z131" s="772"/>
      <c r="AA131" s="774"/>
    </row>
    <row r="132" spans="1:27">
      <c r="A132" s="2280">
        <v>45</v>
      </c>
      <c r="B132" s="2483"/>
      <c r="C132" s="2483"/>
      <c r="D132" s="2487">
        <f t="shared" si="10"/>
        <v>2023</v>
      </c>
      <c r="E132" s="2487"/>
      <c r="F132" s="2487"/>
      <c r="G132" s="2487"/>
      <c r="H132" s="2487" t="s">
        <v>303</v>
      </c>
      <c r="I132" s="2487"/>
      <c r="J132" s="2487"/>
      <c r="K132" s="2487"/>
      <c r="L132" s="2487"/>
      <c r="M132" s="2487"/>
      <c r="N132" s="2487"/>
      <c r="O132" s="2487"/>
      <c r="P132" s="2488">
        <v>24482</v>
      </c>
      <c r="Q132" s="2489"/>
      <c r="R132" s="2489"/>
      <c r="S132" s="2489"/>
      <c r="T132" s="2284">
        <f>ROUND(IPMT(($AA$3%+0.35%)/11,1,$D$219-$D$208+1,$P$220-(SUM($P$4:P131)))*-1,2)</f>
        <v>11771.35</v>
      </c>
      <c r="U132" s="2284"/>
      <c r="V132" s="2284"/>
      <c r="W132" s="2284"/>
      <c r="X132" s="774"/>
      <c r="Y132" s="773"/>
      <c r="Z132" s="772"/>
      <c r="AA132" s="774"/>
    </row>
    <row r="133" spans="1:27">
      <c r="A133" s="2280">
        <v>46</v>
      </c>
      <c r="B133" s="2483"/>
      <c r="C133" s="2483"/>
      <c r="D133" s="2487">
        <f t="shared" si="10"/>
        <v>2023</v>
      </c>
      <c r="E133" s="2487"/>
      <c r="F133" s="2487"/>
      <c r="G133" s="2487"/>
      <c r="H133" s="2487" t="s">
        <v>304</v>
      </c>
      <c r="I133" s="2487"/>
      <c r="J133" s="2487"/>
      <c r="K133" s="2487"/>
      <c r="L133" s="2487"/>
      <c r="M133" s="2487"/>
      <c r="N133" s="2487"/>
      <c r="O133" s="2487"/>
      <c r="P133" s="2488">
        <v>24482</v>
      </c>
      <c r="Q133" s="2489"/>
      <c r="R133" s="2489"/>
      <c r="S133" s="2489"/>
      <c r="T133" s="2284">
        <f>ROUND(IPMT(($AA$3%+0.35%)/11,1,$D$219-$D$208+1,$P$220-(SUM($P$4:P132)))*-1,2)</f>
        <v>11627.8</v>
      </c>
      <c r="U133" s="2284"/>
      <c r="V133" s="2284"/>
      <c r="W133" s="2284"/>
      <c r="X133" s="774"/>
      <c r="Y133" s="773"/>
      <c r="Z133" s="772"/>
      <c r="AA133" s="774"/>
    </row>
    <row r="134" spans="1:27">
      <c r="A134" s="2280">
        <v>47</v>
      </c>
      <c r="B134" s="2483"/>
      <c r="C134" s="2483"/>
      <c r="D134" s="2487">
        <f t="shared" si="10"/>
        <v>2023</v>
      </c>
      <c r="E134" s="2487"/>
      <c r="F134" s="2487"/>
      <c r="G134" s="2487"/>
      <c r="H134" s="2487" t="s">
        <v>305</v>
      </c>
      <c r="I134" s="2487"/>
      <c r="J134" s="2487"/>
      <c r="K134" s="2487"/>
      <c r="L134" s="2487"/>
      <c r="M134" s="2487"/>
      <c r="N134" s="2487"/>
      <c r="O134" s="2487"/>
      <c r="P134" s="2488">
        <v>24482</v>
      </c>
      <c r="Q134" s="2489"/>
      <c r="R134" s="2489"/>
      <c r="S134" s="2489"/>
      <c r="T134" s="2284">
        <f>ROUND(IPMT(($AA$3%+0.35%)/11,1,$D$219-$D$208+1,$P$220-(SUM($P$4:P133)))*-1,2)</f>
        <v>11484.24</v>
      </c>
      <c r="U134" s="2284"/>
      <c r="V134" s="2284"/>
      <c r="W134" s="2284"/>
      <c r="X134" s="774"/>
      <c r="Y134" s="773"/>
      <c r="Z134" s="772"/>
      <c r="AA134" s="774"/>
    </row>
    <row r="135" spans="1:27">
      <c r="A135" s="2280">
        <v>48</v>
      </c>
      <c r="B135" s="2483"/>
      <c r="C135" s="2483"/>
      <c r="D135" s="2487">
        <f t="shared" si="10"/>
        <v>2023</v>
      </c>
      <c r="E135" s="2487"/>
      <c r="F135" s="2487"/>
      <c r="G135" s="2487"/>
      <c r="H135" s="2502" t="s">
        <v>306</v>
      </c>
      <c r="I135" s="2502"/>
      <c r="J135" s="2502"/>
      <c r="K135" s="2502"/>
      <c r="L135" s="2502"/>
      <c r="M135" s="2502"/>
      <c r="N135" s="2502"/>
      <c r="O135" s="2502"/>
      <c r="P135" s="2488">
        <v>24482</v>
      </c>
      <c r="Q135" s="2489"/>
      <c r="R135" s="2489"/>
      <c r="S135" s="2489"/>
      <c r="T135" s="2279">
        <f>ROUND(IPMT(($AA$3%+0.35%)/11,1,$D$219-$D$208+1,$P$220-(SUM($P$4:P134)))*-1,2)</f>
        <v>11340.69</v>
      </c>
      <c r="U135" s="2279"/>
      <c r="V135" s="2279"/>
      <c r="W135" s="2279"/>
      <c r="X135" s="774"/>
      <c r="Y135" s="2494">
        <f>SUM(T124:W135)</f>
        <v>145562.80000000002</v>
      </c>
      <c r="Z135" s="2495"/>
      <c r="AA135" s="774"/>
    </row>
    <row r="136" spans="1:27">
      <c r="A136" s="2496">
        <v>37</v>
      </c>
      <c r="B136" s="2497"/>
      <c r="C136" s="2497"/>
      <c r="D136" s="2498">
        <f>D125+1</f>
        <v>2024</v>
      </c>
      <c r="E136" s="2498"/>
      <c r="F136" s="2498"/>
      <c r="G136" s="2498"/>
      <c r="H136" s="2498" t="s">
        <v>295</v>
      </c>
      <c r="I136" s="2498"/>
      <c r="J136" s="2498"/>
      <c r="K136" s="2498"/>
      <c r="L136" s="2498"/>
      <c r="M136" s="2498"/>
      <c r="N136" s="2498"/>
      <c r="O136" s="2498"/>
      <c r="P136" s="2488">
        <v>24482</v>
      </c>
      <c r="Q136" s="2489"/>
      <c r="R136" s="2489"/>
      <c r="S136" s="2489"/>
      <c r="T136" s="2501">
        <f>ROUND(IPMT(($AA$3%+0.35%)/11,1,$D$219-$D$88+1,$P$220-(SUM($P$4:P135)))*-1,2)</f>
        <v>11197.14</v>
      </c>
      <c r="U136" s="2501"/>
      <c r="V136" s="2501"/>
      <c r="W136" s="2501"/>
      <c r="X136" s="774"/>
      <c r="Y136" s="773"/>
      <c r="Z136" s="772"/>
      <c r="AA136" s="774"/>
    </row>
    <row r="137" spans="1:27">
      <c r="A137" s="2280">
        <v>38</v>
      </c>
      <c r="B137" s="2483"/>
      <c r="C137" s="2483"/>
      <c r="D137" s="2487">
        <v>2024</v>
      </c>
      <c r="E137" s="2487"/>
      <c r="F137" s="2487"/>
      <c r="G137" s="2487"/>
      <c r="H137" s="2487" t="s">
        <v>296</v>
      </c>
      <c r="I137" s="2487"/>
      <c r="J137" s="2487"/>
      <c r="K137" s="2487"/>
      <c r="L137" s="2487"/>
      <c r="M137" s="2487"/>
      <c r="N137" s="2487"/>
      <c r="O137" s="2487"/>
      <c r="P137" s="2488">
        <v>24482</v>
      </c>
      <c r="Q137" s="2489"/>
      <c r="R137" s="2489"/>
      <c r="S137" s="2489"/>
      <c r="T137" s="2284">
        <f>ROUND(IPMT(($AA$3%+0.35%)/11,1,$D$219-$D$208+1,$P$220-(SUM($P$4:P136)))*-1,2)</f>
        <v>11053.58</v>
      </c>
      <c r="U137" s="2284"/>
      <c r="V137" s="2284"/>
      <c r="W137" s="2284"/>
      <c r="X137" s="774"/>
      <c r="Y137" s="773"/>
      <c r="Z137" s="772"/>
      <c r="AA137" s="774"/>
    </row>
    <row r="138" spans="1:27">
      <c r="A138" s="2280">
        <v>39</v>
      </c>
      <c r="B138" s="2483"/>
      <c r="C138" s="2483"/>
      <c r="D138" s="2487">
        <v>2024</v>
      </c>
      <c r="E138" s="2487"/>
      <c r="F138" s="2487"/>
      <c r="G138" s="2487"/>
      <c r="H138" s="2487" t="s">
        <v>297</v>
      </c>
      <c r="I138" s="2487"/>
      <c r="J138" s="2487"/>
      <c r="K138" s="2487"/>
      <c r="L138" s="2487"/>
      <c r="M138" s="2487"/>
      <c r="N138" s="2487"/>
      <c r="O138" s="2487"/>
      <c r="P138" s="2488">
        <v>24482</v>
      </c>
      <c r="Q138" s="2489"/>
      <c r="R138" s="2489"/>
      <c r="S138" s="2489"/>
      <c r="T138" s="2284">
        <f>ROUND(IPMT(($AA$3%+0.35%)/11,1,$D$219-$D$208+1,$P$220-(SUM($P$4:P137)))*-1,2)</f>
        <v>10910.03</v>
      </c>
      <c r="U138" s="2284"/>
      <c r="V138" s="2284"/>
      <c r="W138" s="2284"/>
      <c r="X138" s="774"/>
      <c r="Y138" s="773"/>
      <c r="Z138" s="772"/>
      <c r="AA138" s="774"/>
    </row>
    <row r="139" spans="1:27">
      <c r="A139" s="2280">
        <v>40</v>
      </c>
      <c r="B139" s="2483"/>
      <c r="C139" s="2483"/>
      <c r="D139" s="2487">
        <v>2024</v>
      </c>
      <c r="E139" s="2487"/>
      <c r="F139" s="2487"/>
      <c r="G139" s="2487"/>
      <c r="H139" s="2487" t="s">
        <v>298</v>
      </c>
      <c r="I139" s="2487"/>
      <c r="J139" s="2487"/>
      <c r="K139" s="2487"/>
      <c r="L139" s="2487"/>
      <c r="M139" s="2487"/>
      <c r="N139" s="2487"/>
      <c r="O139" s="2487"/>
      <c r="P139" s="2488">
        <v>24482</v>
      </c>
      <c r="Q139" s="2489"/>
      <c r="R139" s="2489"/>
      <c r="S139" s="2489"/>
      <c r="T139" s="2284">
        <f>ROUND(IPMT(($AA$3%+0.35%)/11,1,$D$219-$D$208+1,$P$220-(SUM($P$4:P138)))*-1,2)</f>
        <v>10766.47</v>
      </c>
      <c r="U139" s="2284"/>
      <c r="V139" s="2284"/>
      <c r="W139" s="2284"/>
      <c r="X139" s="774"/>
      <c r="Y139" s="773"/>
      <c r="Z139" s="772"/>
      <c r="AA139" s="774"/>
    </row>
    <row r="140" spans="1:27">
      <c r="A140" s="2280">
        <v>41</v>
      </c>
      <c r="B140" s="2483"/>
      <c r="C140" s="2483"/>
      <c r="D140" s="2487">
        <v>2024</v>
      </c>
      <c r="E140" s="2487"/>
      <c r="F140" s="2487"/>
      <c r="G140" s="2487"/>
      <c r="H140" s="2487" t="s">
        <v>299</v>
      </c>
      <c r="I140" s="2487"/>
      <c r="J140" s="2487"/>
      <c r="K140" s="2487"/>
      <c r="L140" s="2487"/>
      <c r="M140" s="2487"/>
      <c r="N140" s="2487"/>
      <c r="O140" s="2487"/>
      <c r="P140" s="2488">
        <v>24482</v>
      </c>
      <c r="Q140" s="2489"/>
      <c r="R140" s="2489"/>
      <c r="S140" s="2489"/>
      <c r="T140" s="2284">
        <f>ROUND(IPMT(($AA$3%+0.35%)/11,1,$D$219-$D$208+1,$P$220-(SUM($P$4:P139)))*-1,2)</f>
        <v>10622.92</v>
      </c>
      <c r="U140" s="2284"/>
      <c r="V140" s="2284"/>
      <c r="W140" s="2284"/>
      <c r="X140" s="774"/>
      <c r="Y140" s="773"/>
      <c r="Z140" s="772"/>
      <c r="AA140" s="774"/>
    </row>
    <row r="141" spans="1:27">
      <c r="A141" s="2280">
        <v>42</v>
      </c>
      <c r="B141" s="2483"/>
      <c r="C141" s="2483"/>
      <c r="D141" s="2487">
        <v>2024</v>
      </c>
      <c r="E141" s="2487"/>
      <c r="F141" s="2487"/>
      <c r="G141" s="2487"/>
      <c r="H141" s="2487" t="s">
        <v>300</v>
      </c>
      <c r="I141" s="2487"/>
      <c r="J141" s="2487"/>
      <c r="K141" s="2487"/>
      <c r="L141" s="2487"/>
      <c r="M141" s="2487"/>
      <c r="N141" s="2487"/>
      <c r="O141" s="2487"/>
      <c r="P141" s="2488">
        <v>24482</v>
      </c>
      <c r="Q141" s="2489"/>
      <c r="R141" s="2489"/>
      <c r="S141" s="2489"/>
      <c r="T141" s="2284">
        <f>ROUND(IPMT(($AA$3%+0.35%)/11,1,$D$219-$D$208+1,$P$220-(SUM($P$4:P140)))*-1,2)</f>
        <v>10479.370000000001</v>
      </c>
      <c r="U141" s="2284"/>
      <c r="V141" s="2284"/>
      <c r="W141" s="2284"/>
      <c r="X141" s="774"/>
      <c r="Y141" s="773"/>
      <c r="Z141" s="772"/>
      <c r="AA141" s="774"/>
    </row>
    <row r="142" spans="1:27">
      <c r="A142" s="2280">
        <v>43</v>
      </c>
      <c r="B142" s="2483"/>
      <c r="C142" s="2483"/>
      <c r="D142" s="2487">
        <v>2024</v>
      </c>
      <c r="E142" s="2487"/>
      <c r="F142" s="2487"/>
      <c r="G142" s="2487"/>
      <c r="H142" s="2487" t="s">
        <v>301</v>
      </c>
      <c r="I142" s="2487"/>
      <c r="J142" s="2487"/>
      <c r="K142" s="2487"/>
      <c r="L142" s="2487"/>
      <c r="M142" s="2487"/>
      <c r="N142" s="2487"/>
      <c r="O142" s="2487"/>
      <c r="P142" s="2488">
        <v>24482</v>
      </c>
      <c r="Q142" s="2489"/>
      <c r="R142" s="2489"/>
      <c r="S142" s="2489"/>
      <c r="T142" s="2284">
        <f>ROUND(IPMT(($AA$3%+0.35%)/11,1,$D$219-$D$208+1,$P$220-(SUM($P$4:P141)))*-1,2)</f>
        <v>10335.81</v>
      </c>
      <c r="U142" s="2284"/>
      <c r="V142" s="2284"/>
      <c r="W142" s="2284"/>
      <c r="X142" s="774"/>
      <c r="Y142" s="773"/>
      <c r="Z142" s="772"/>
      <c r="AA142" s="774"/>
    </row>
    <row r="143" spans="1:27">
      <c r="A143" s="2280">
        <v>44</v>
      </c>
      <c r="B143" s="2483"/>
      <c r="C143" s="2483"/>
      <c r="D143" s="2487">
        <v>2024</v>
      </c>
      <c r="E143" s="2487"/>
      <c r="F143" s="2487"/>
      <c r="G143" s="2487"/>
      <c r="H143" s="2487" t="s">
        <v>302</v>
      </c>
      <c r="I143" s="2487"/>
      <c r="J143" s="2487"/>
      <c r="K143" s="2487"/>
      <c r="L143" s="2487"/>
      <c r="M143" s="2487"/>
      <c r="N143" s="2487"/>
      <c r="O143" s="2487"/>
      <c r="P143" s="2488">
        <v>24482</v>
      </c>
      <c r="Q143" s="2489"/>
      <c r="R143" s="2489"/>
      <c r="S143" s="2489"/>
      <c r="T143" s="2284">
        <f>ROUND(IPMT(($AA$3%+0.35%)/11,1,$D$219-$D$208+1,$P$220-(SUM($P$4:P142)))*-1,2)</f>
        <v>10192.26</v>
      </c>
      <c r="U143" s="2284"/>
      <c r="V143" s="2284"/>
      <c r="W143" s="2284"/>
      <c r="X143" s="774"/>
      <c r="Y143" s="773"/>
      <c r="Z143" s="772"/>
      <c r="AA143" s="774"/>
    </row>
    <row r="144" spans="1:27">
      <c r="A144" s="2280">
        <v>45</v>
      </c>
      <c r="B144" s="2483"/>
      <c r="C144" s="2483"/>
      <c r="D144" s="2487">
        <v>2024</v>
      </c>
      <c r="E144" s="2487"/>
      <c r="F144" s="2487"/>
      <c r="G144" s="2487"/>
      <c r="H144" s="2487" t="s">
        <v>303</v>
      </c>
      <c r="I144" s="2487"/>
      <c r="J144" s="2487"/>
      <c r="K144" s="2487"/>
      <c r="L144" s="2487"/>
      <c r="M144" s="2487"/>
      <c r="N144" s="2487"/>
      <c r="O144" s="2487"/>
      <c r="P144" s="2488">
        <v>24482</v>
      </c>
      <c r="Q144" s="2489"/>
      <c r="R144" s="2489"/>
      <c r="S144" s="2489"/>
      <c r="T144" s="2284">
        <f>ROUND(IPMT(($AA$3%+0.35%)/11,1,$D$219-$D$208+1,$P$220-(SUM($P$4:P143)))*-1,2)</f>
        <v>10048.709999999999</v>
      </c>
      <c r="U144" s="2284"/>
      <c r="V144" s="2284"/>
      <c r="W144" s="2284"/>
      <c r="X144" s="774"/>
      <c r="Y144" s="773"/>
      <c r="Z144" s="772"/>
      <c r="AA144" s="774"/>
    </row>
    <row r="145" spans="1:27">
      <c r="A145" s="2280">
        <v>46</v>
      </c>
      <c r="B145" s="2483"/>
      <c r="C145" s="2483"/>
      <c r="D145" s="2487">
        <v>2024</v>
      </c>
      <c r="E145" s="2487"/>
      <c r="F145" s="2487"/>
      <c r="G145" s="2487"/>
      <c r="H145" s="2487" t="s">
        <v>304</v>
      </c>
      <c r="I145" s="2487"/>
      <c r="J145" s="2487"/>
      <c r="K145" s="2487"/>
      <c r="L145" s="2487"/>
      <c r="M145" s="2487"/>
      <c r="N145" s="2487"/>
      <c r="O145" s="2487"/>
      <c r="P145" s="2488">
        <v>24482</v>
      </c>
      <c r="Q145" s="2489"/>
      <c r="R145" s="2489"/>
      <c r="S145" s="2489"/>
      <c r="T145" s="2284">
        <f>ROUND(IPMT(($AA$3%+0.35%)/11,1,$D$219-$D$208+1,$P$220-(SUM($P$4:P144)))*-1,2)</f>
        <v>9905.15</v>
      </c>
      <c r="U145" s="2284"/>
      <c r="V145" s="2284"/>
      <c r="W145" s="2284"/>
      <c r="X145" s="774"/>
      <c r="Y145" s="773"/>
      <c r="Z145" s="772"/>
      <c r="AA145" s="774"/>
    </row>
    <row r="146" spans="1:27">
      <c r="A146" s="2280">
        <v>47</v>
      </c>
      <c r="B146" s="2483"/>
      <c r="C146" s="2483"/>
      <c r="D146" s="2487">
        <v>2024</v>
      </c>
      <c r="E146" s="2487"/>
      <c r="F146" s="2487"/>
      <c r="G146" s="2487"/>
      <c r="H146" s="2487" t="s">
        <v>305</v>
      </c>
      <c r="I146" s="2487"/>
      <c r="J146" s="2487"/>
      <c r="K146" s="2487"/>
      <c r="L146" s="2487"/>
      <c r="M146" s="2487"/>
      <c r="N146" s="2487"/>
      <c r="O146" s="2487"/>
      <c r="P146" s="2488">
        <v>24482</v>
      </c>
      <c r="Q146" s="2489"/>
      <c r="R146" s="2489"/>
      <c r="S146" s="2489"/>
      <c r="T146" s="2284">
        <f>ROUND(IPMT(($AA$3%+0.35%)/11,1,$D$219-$D$208+1,$P$220-(SUM($P$4:P145)))*-1,2)</f>
        <v>9761.6</v>
      </c>
      <c r="U146" s="2284"/>
      <c r="V146" s="2284"/>
      <c r="W146" s="2284"/>
      <c r="X146" s="774"/>
      <c r="Y146" s="773"/>
      <c r="Z146" s="772"/>
      <c r="AA146" s="774"/>
    </row>
    <row r="147" spans="1:27">
      <c r="A147" s="2280">
        <v>48</v>
      </c>
      <c r="B147" s="2483"/>
      <c r="C147" s="2483"/>
      <c r="D147" s="2502">
        <v>2024</v>
      </c>
      <c r="E147" s="2502"/>
      <c r="F147" s="2502"/>
      <c r="G147" s="2502"/>
      <c r="H147" s="2502" t="s">
        <v>306</v>
      </c>
      <c r="I147" s="2502"/>
      <c r="J147" s="2502"/>
      <c r="K147" s="2502"/>
      <c r="L147" s="2502"/>
      <c r="M147" s="2502"/>
      <c r="N147" s="2502"/>
      <c r="O147" s="2502"/>
      <c r="P147" s="2488">
        <v>24482</v>
      </c>
      <c r="Q147" s="2489"/>
      <c r="R147" s="2489"/>
      <c r="S147" s="2489"/>
      <c r="T147" s="2279">
        <f>ROUND(IPMT(($AA$3%+0.35%)/11,1,$D$219-$D$208+1,$P$220-(SUM($P$4:P146)))*-1,2)</f>
        <v>9618.0499999999993</v>
      </c>
      <c r="U147" s="2279"/>
      <c r="V147" s="2279"/>
      <c r="W147" s="2279"/>
      <c r="X147" s="774"/>
      <c r="Y147" s="2494">
        <f>SUM(T136:W147)</f>
        <v>124891.09000000001</v>
      </c>
      <c r="Z147" s="2495"/>
      <c r="AA147" s="774"/>
    </row>
    <row r="148" spans="1:27">
      <c r="A148" s="2496">
        <v>38</v>
      </c>
      <c r="B148" s="2497"/>
      <c r="C148" s="2497"/>
      <c r="D148" s="2498">
        <f>D137+1</f>
        <v>2025</v>
      </c>
      <c r="E148" s="2498"/>
      <c r="F148" s="2498"/>
      <c r="G148" s="2498"/>
      <c r="H148" s="2498" t="s">
        <v>295</v>
      </c>
      <c r="I148" s="2498"/>
      <c r="J148" s="2498"/>
      <c r="K148" s="2498"/>
      <c r="L148" s="2498"/>
      <c r="M148" s="2498"/>
      <c r="N148" s="2498"/>
      <c r="O148" s="2498"/>
      <c r="P148" s="2488">
        <v>24482</v>
      </c>
      <c r="Q148" s="2489"/>
      <c r="R148" s="2489"/>
      <c r="S148" s="2489"/>
      <c r="T148" s="2501">
        <f>ROUND(IPMT(($AA$3%+0.35%)/11,1,$D$219-$D$208+1,$P$220-(SUM($P$4:P147)))*-1,2)</f>
        <v>9474.49</v>
      </c>
      <c r="U148" s="2501"/>
      <c r="V148" s="2501"/>
      <c r="W148" s="2501"/>
      <c r="X148" s="774"/>
      <c r="Y148" s="773"/>
      <c r="Z148" s="772"/>
      <c r="AA148" s="774"/>
    </row>
    <row r="149" spans="1:27">
      <c r="A149" s="2280">
        <v>38</v>
      </c>
      <c r="B149" s="2483"/>
      <c r="C149" s="2483"/>
      <c r="D149" s="2487">
        <v>2025</v>
      </c>
      <c r="E149" s="2487"/>
      <c r="F149" s="2487"/>
      <c r="G149" s="2487"/>
      <c r="H149" s="2487" t="s">
        <v>296</v>
      </c>
      <c r="I149" s="2487"/>
      <c r="J149" s="2487"/>
      <c r="K149" s="2487"/>
      <c r="L149" s="2487"/>
      <c r="M149" s="2487"/>
      <c r="N149" s="2487"/>
      <c r="O149" s="2487"/>
      <c r="P149" s="2488">
        <v>24482</v>
      </c>
      <c r="Q149" s="2489"/>
      <c r="R149" s="2489"/>
      <c r="S149" s="2489"/>
      <c r="T149" s="2284">
        <f>ROUND(IPMT(($AA$3%+0.35%)/11,1,$D$219-$D$208+1,$P$220-(SUM($P$4:P148)))*-1,2)</f>
        <v>9330.94</v>
      </c>
      <c r="U149" s="2284"/>
      <c r="V149" s="2284"/>
      <c r="W149" s="2284"/>
      <c r="X149" s="774"/>
      <c r="Y149" s="773"/>
      <c r="Z149" s="772"/>
      <c r="AA149" s="774"/>
    </row>
    <row r="150" spans="1:27">
      <c r="A150" s="2280">
        <v>39</v>
      </c>
      <c r="B150" s="2483"/>
      <c r="C150" s="2483"/>
      <c r="D150" s="2487">
        <v>2025</v>
      </c>
      <c r="E150" s="2487"/>
      <c r="F150" s="2487"/>
      <c r="G150" s="2487"/>
      <c r="H150" s="2487" t="s">
        <v>297</v>
      </c>
      <c r="I150" s="2487"/>
      <c r="J150" s="2487"/>
      <c r="K150" s="2487"/>
      <c r="L150" s="2487"/>
      <c r="M150" s="2487"/>
      <c r="N150" s="2487"/>
      <c r="O150" s="2487"/>
      <c r="P150" s="2488">
        <v>24482</v>
      </c>
      <c r="Q150" s="2489"/>
      <c r="R150" s="2489"/>
      <c r="S150" s="2489"/>
      <c r="T150" s="2284">
        <f>ROUND(IPMT(($AA$3%+0.35%)/11,1,$D$219-$D$208+1,$P$220-(SUM($P$4:P149)))*-1,2)</f>
        <v>9187.39</v>
      </c>
      <c r="U150" s="2284"/>
      <c r="V150" s="2284"/>
      <c r="W150" s="2284"/>
      <c r="X150" s="774"/>
      <c r="Y150" s="773"/>
      <c r="Z150" s="772"/>
      <c r="AA150" s="774"/>
    </row>
    <row r="151" spans="1:27">
      <c r="A151" s="2280">
        <v>40</v>
      </c>
      <c r="B151" s="2483"/>
      <c r="C151" s="2483"/>
      <c r="D151" s="2487">
        <v>2025</v>
      </c>
      <c r="E151" s="2487"/>
      <c r="F151" s="2487"/>
      <c r="G151" s="2487"/>
      <c r="H151" s="2487" t="s">
        <v>298</v>
      </c>
      <c r="I151" s="2487"/>
      <c r="J151" s="2487"/>
      <c r="K151" s="2487"/>
      <c r="L151" s="2487"/>
      <c r="M151" s="2487"/>
      <c r="N151" s="2487"/>
      <c r="O151" s="2487"/>
      <c r="P151" s="2488">
        <v>24482</v>
      </c>
      <c r="Q151" s="2489"/>
      <c r="R151" s="2489"/>
      <c r="S151" s="2489"/>
      <c r="T151" s="2284">
        <f>ROUND(IPMT(($AA$3%+0.35%)/11,1,$D$219-$D$208+1,$P$220-(SUM($P$4:P150)))*-1,2)</f>
        <v>9043.83</v>
      </c>
      <c r="U151" s="2284"/>
      <c r="V151" s="2284"/>
      <c r="W151" s="2284"/>
      <c r="X151" s="774"/>
      <c r="Y151" s="773"/>
      <c r="Z151" s="772"/>
      <c r="AA151" s="774"/>
    </row>
    <row r="152" spans="1:27">
      <c r="A152" s="2280">
        <v>41</v>
      </c>
      <c r="B152" s="2483"/>
      <c r="C152" s="2483"/>
      <c r="D152" s="2487">
        <v>2025</v>
      </c>
      <c r="E152" s="2487"/>
      <c r="F152" s="2487"/>
      <c r="G152" s="2487"/>
      <c r="H152" s="2487" t="s">
        <v>299</v>
      </c>
      <c r="I152" s="2487"/>
      <c r="J152" s="2487"/>
      <c r="K152" s="2487"/>
      <c r="L152" s="2487"/>
      <c r="M152" s="2487"/>
      <c r="N152" s="2487"/>
      <c r="O152" s="2487"/>
      <c r="P152" s="2488">
        <v>24482</v>
      </c>
      <c r="Q152" s="2489"/>
      <c r="R152" s="2489"/>
      <c r="S152" s="2489"/>
      <c r="T152" s="2284">
        <f>ROUND(IPMT(($AA$3%+0.35%)/11,1,$D$219-$D$208+1,$P$220-(SUM($P$4:P151)))*-1,2)</f>
        <v>8900.2800000000007</v>
      </c>
      <c r="U152" s="2284"/>
      <c r="V152" s="2284"/>
      <c r="W152" s="2284"/>
      <c r="X152" s="774"/>
      <c r="Y152" s="773"/>
      <c r="Z152" s="772"/>
      <c r="AA152" s="774"/>
    </row>
    <row r="153" spans="1:27">
      <c r="A153" s="2280">
        <v>42</v>
      </c>
      <c r="B153" s="2483"/>
      <c r="C153" s="2483"/>
      <c r="D153" s="2487">
        <v>2025</v>
      </c>
      <c r="E153" s="2487"/>
      <c r="F153" s="2487"/>
      <c r="G153" s="2487"/>
      <c r="H153" s="2487" t="s">
        <v>300</v>
      </c>
      <c r="I153" s="2487"/>
      <c r="J153" s="2487"/>
      <c r="K153" s="2487"/>
      <c r="L153" s="2487"/>
      <c r="M153" s="2487"/>
      <c r="N153" s="2487"/>
      <c r="O153" s="2487"/>
      <c r="P153" s="2488">
        <v>24482</v>
      </c>
      <c r="Q153" s="2489"/>
      <c r="R153" s="2489"/>
      <c r="S153" s="2489"/>
      <c r="T153" s="2284">
        <f>ROUND(IPMT(($AA$3%+0.35%)/11,1,$D$219-$D$208+1,$P$220-(SUM($P$4:P152)))*-1,2)</f>
        <v>8756.73</v>
      </c>
      <c r="U153" s="2284"/>
      <c r="V153" s="2284"/>
      <c r="W153" s="2284"/>
      <c r="X153" s="774"/>
      <c r="Y153" s="773"/>
      <c r="Z153" s="772"/>
      <c r="AA153" s="774"/>
    </row>
    <row r="154" spans="1:27">
      <c r="A154" s="2280">
        <v>43</v>
      </c>
      <c r="B154" s="2483"/>
      <c r="C154" s="2483"/>
      <c r="D154" s="2487">
        <v>2025</v>
      </c>
      <c r="E154" s="2487"/>
      <c r="F154" s="2487"/>
      <c r="G154" s="2487"/>
      <c r="H154" s="2487" t="s">
        <v>301</v>
      </c>
      <c r="I154" s="2487"/>
      <c r="J154" s="2487"/>
      <c r="K154" s="2487"/>
      <c r="L154" s="2487"/>
      <c r="M154" s="2487"/>
      <c r="N154" s="2487"/>
      <c r="O154" s="2487"/>
      <c r="P154" s="2488">
        <v>24482</v>
      </c>
      <c r="Q154" s="2489"/>
      <c r="R154" s="2489"/>
      <c r="S154" s="2489"/>
      <c r="T154" s="2284">
        <f>ROUND(IPMT(($AA$3%+0.35%)/11,1,$D$219-$D$208+1,$P$220-(SUM($P$4:P153)))*-1,2)</f>
        <v>8613.17</v>
      </c>
      <c r="U154" s="2284"/>
      <c r="V154" s="2284"/>
      <c r="W154" s="2284"/>
      <c r="X154" s="774"/>
      <c r="Y154" s="773"/>
      <c r="Z154" s="772"/>
      <c r="AA154" s="774"/>
    </row>
    <row r="155" spans="1:27">
      <c r="A155" s="2280">
        <v>44</v>
      </c>
      <c r="B155" s="2483"/>
      <c r="C155" s="2483"/>
      <c r="D155" s="2487">
        <v>2025</v>
      </c>
      <c r="E155" s="2487"/>
      <c r="F155" s="2487"/>
      <c r="G155" s="2487"/>
      <c r="H155" s="2487" t="s">
        <v>302</v>
      </c>
      <c r="I155" s="2487"/>
      <c r="J155" s="2487"/>
      <c r="K155" s="2487"/>
      <c r="L155" s="2487"/>
      <c r="M155" s="2487"/>
      <c r="N155" s="2487"/>
      <c r="O155" s="2487"/>
      <c r="P155" s="2488">
        <v>24482</v>
      </c>
      <c r="Q155" s="2489"/>
      <c r="R155" s="2489"/>
      <c r="S155" s="2489"/>
      <c r="T155" s="2284">
        <f>ROUND(IPMT(($AA$3%+0.35%)/11,1,$D$219-$D$208+1,$P$220-(SUM($P$4:P154)))*-1,2)</f>
        <v>8469.6200000000008</v>
      </c>
      <c r="U155" s="2284"/>
      <c r="V155" s="2284"/>
      <c r="W155" s="2284"/>
      <c r="X155" s="774"/>
      <c r="Y155" s="773"/>
      <c r="Z155" s="772"/>
      <c r="AA155" s="774"/>
    </row>
    <row r="156" spans="1:27">
      <c r="A156" s="2280">
        <v>45</v>
      </c>
      <c r="B156" s="2483"/>
      <c r="C156" s="2483"/>
      <c r="D156" s="2487">
        <v>2025</v>
      </c>
      <c r="E156" s="2487"/>
      <c r="F156" s="2487"/>
      <c r="G156" s="2487"/>
      <c r="H156" s="2487" t="s">
        <v>303</v>
      </c>
      <c r="I156" s="2487"/>
      <c r="J156" s="2487"/>
      <c r="K156" s="2487"/>
      <c r="L156" s="2487"/>
      <c r="M156" s="2487"/>
      <c r="N156" s="2487"/>
      <c r="O156" s="2487"/>
      <c r="P156" s="2488">
        <v>24482</v>
      </c>
      <c r="Q156" s="2489"/>
      <c r="R156" s="2489"/>
      <c r="S156" s="2489"/>
      <c r="T156" s="2284">
        <f>ROUND(IPMT(($AA$3%+0.35%)/11,1,$D$219-$D$208+1,$P$220-(SUM($P$4:P155)))*-1,2)</f>
        <v>8326.06</v>
      </c>
      <c r="U156" s="2284"/>
      <c r="V156" s="2284"/>
      <c r="W156" s="2284"/>
      <c r="X156" s="774"/>
      <c r="Y156" s="773"/>
      <c r="Z156" s="772"/>
      <c r="AA156" s="774"/>
    </row>
    <row r="157" spans="1:27">
      <c r="A157" s="2280">
        <v>46</v>
      </c>
      <c r="B157" s="2483"/>
      <c r="C157" s="2483"/>
      <c r="D157" s="2487">
        <v>2025</v>
      </c>
      <c r="E157" s="2487"/>
      <c r="F157" s="2487"/>
      <c r="G157" s="2487"/>
      <c r="H157" s="2487" t="s">
        <v>304</v>
      </c>
      <c r="I157" s="2487"/>
      <c r="J157" s="2487"/>
      <c r="K157" s="2487"/>
      <c r="L157" s="2487"/>
      <c r="M157" s="2487"/>
      <c r="N157" s="2487"/>
      <c r="O157" s="2487"/>
      <c r="P157" s="2488">
        <v>24482</v>
      </c>
      <c r="Q157" s="2489"/>
      <c r="R157" s="2489"/>
      <c r="S157" s="2489"/>
      <c r="T157" s="2284">
        <f>ROUND(IPMT(($AA$3%+0.35%)/11,1,$D$219-$D$208+1,$P$220-(SUM($P$4:P156)))*-1,2)</f>
        <v>8182.51</v>
      </c>
      <c r="U157" s="2284"/>
      <c r="V157" s="2284"/>
      <c r="W157" s="2284"/>
      <c r="X157" s="774"/>
      <c r="Y157" s="773"/>
      <c r="Z157" s="772"/>
      <c r="AA157" s="774"/>
    </row>
    <row r="158" spans="1:27">
      <c r="A158" s="2280">
        <v>47</v>
      </c>
      <c r="B158" s="2483"/>
      <c r="C158" s="2483"/>
      <c r="D158" s="2487">
        <v>2025</v>
      </c>
      <c r="E158" s="2487"/>
      <c r="F158" s="2487"/>
      <c r="G158" s="2487"/>
      <c r="H158" s="2487" t="s">
        <v>305</v>
      </c>
      <c r="I158" s="2487"/>
      <c r="J158" s="2487"/>
      <c r="K158" s="2487"/>
      <c r="L158" s="2487"/>
      <c r="M158" s="2487"/>
      <c r="N158" s="2487"/>
      <c r="O158" s="2487"/>
      <c r="P158" s="2488">
        <v>24482</v>
      </c>
      <c r="Q158" s="2489"/>
      <c r="R158" s="2489"/>
      <c r="S158" s="2489"/>
      <c r="T158" s="2284">
        <f>ROUND(IPMT(($AA$3%+0.35%)/11,1,$D$219-$D$208+1,$P$220-(SUM($P$4:P157)))*-1,2)</f>
        <v>8038.96</v>
      </c>
      <c r="U158" s="2284"/>
      <c r="V158" s="2284"/>
      <c r="W158" s="2284"/>
      <c r="X158" s="774"/>
      <c r="Y158" s="773"/>
      <c r="Z158" s="772"/>
      <c r="AA158" s="774"/>
    </row>
    <row r="159" spans="1:27">
      <c r="A159" s="2280">
        <v>48</v>
      </c>
      <c r="B159" s="2483"/>
      <c r="C159" s="2483"/>
      <c r="D159" s="2487">
        <v>2025</v>
      </c>
      <c r="E159" s="2487"/>
      <c r="F159" s="2487"/>
      <c r="G159" s="2487"/>
      <c r="H159" s="2502" t="s">
        <v>306</v>
      </c>
      <c r="I159" s="2502"/>
      <c r="J159" s="2502"/>
      <c r="K159" s="2502"/>
      <c r="L159" s="2502"/>
      <c r="M159" s="2502"/>
      <c r="N159" s="2502"/>
      <c r="O159" s="2502"/>
      <c r="P159" s="2488">
        <v>24482</v>
      </c>
      <c r="Q159" s="2489"/>
      <c r="R159" s="2489"/>
      <c r="S159" s="2489"/>
      <c r="T159" s="2279">
        <f>ROUND(IPMT(($AA$3%+0.35%)/11,1,$D$219-$D$208+1,$P$220-(SUM($P$4:P158)))*-1,2)</f>
        <v>7895.4</v>
      </c>
      <c r="U159" s="2279"/>
      <c r="V159" s="2279"/>
      <c r="W159" s="2279"/>
      <c r="X159" s="774"/>
      <c r="Y159" s="2494">
        <f>SUM(T148:W159)</f>
        <v>104219.37999999999</v>
      </c>
      <c r="Z159" s="2495"/>
      <c r="AA159" s="774"/>
    </row>
    <row r="160" spans="1:27">
      <c r="A160" s="2496">
        <v>37</v>
      </c>
      <c r="B160" s="2497"/>
      <c r="C160" s="2497"/>
      <c r="D160" s="2498">
        <v>2026</v>
      </c>
      <c r="E160" s="2498"/>
      <c r="F160" s="2498"/>
      <c r="G160" s="2498"/>
      <c r="H160" s="2498" t="s">
        <v>295</v>
      </c>
      <c r="I160" s="2498"/>
      <c r="J160" s="2498"/>
      <c r="K160" s="2498"/>
      <c r="L160" s="2498"/>
      <c r="M160" s="2498"/>
      <c r="N160" s="2498"/>
      <c r="O160" s="2498"/>
      <c r="P160" s="2488">
        <v>24482</v>
      </c>
      <c r="Q160" s="2489"/>
      <c r="R160" s="2489"/>
      <c r="S160" s="2489"/>
      <c r="T160" s="2501">
        <f>ROUND(IPMT(($AA$3%+0.35%)/11,1,$D$219-$D$88+1,$P$220-(SUM($P$4:P159)))*-1,2)</f>
        <v>7751.85</v>
      </c>
      <c r="U160" s="2501"/>
      <c r="V160" s="2501"/>
      <c r="W160" s="2501"/>
      <c r="X160" s="774"/>
      <c r="Y160" s="773"/>
      <c r="Z160" s="772"/>
      <c r="AA160" s="774"/>
    </row>
    <row r="161" spans="1:27">
      <c r="A161" s="2280">
        <v>38</v>
      </c>
      <c r="B161" s="2483"/>
      <c r="C161" s="2483"/>
      <c r="D161" s="2503">
        <v>2026</v>
      </c>
      <c r="E161" s="2503"/>
      <c r="F161" s="2503"/>
      <c r="G161" s="2503"/>
      <c r="H161" s="2487" t="s">
        <v>296</v>
      </c>
      <c r="I161" s="2487"/>
      <c r="J161" s="2487"/>
      <c r="K161" s="2487"/>
      <c r="L161" s="2487"/>
      <c r="M161" s="2487"/>
      <c r="N161" s="2487"/>
      <c r="O161" s="2487"/>
      <c r="P161" s="2488">
        <v>24482</v>
      </c>
      <c r="Q161" s="2489"/>
      <c r="R161" s="2489"/>
      <c r="S161" s="2489"/>
      <c r="T161" s="2284">
        <f>ROUND(IPMT(($AA$3%+0.35%)/11,1,$D$219-$D$208+1,$P$220-(SUM($P$4:P160)))*-1,2)</f>
        <v>7608.3</v>
      </c>
      <c r="U161" s="2284"/>
      <c r="V161" s="2284"/>
      <c r="W161" s="2284"/>
      <c r="X161" s="774"/>
      <c r="Y161" s="773"/>
      <c r="Z161" s="772"/>
      <c r="AA161" s="774"/>
    </row>
    <row r="162" spans="1:27">
      <c r="A162" s="2280">
        <v>39</v>
      </c>
      <c r="B162" s="2483"/>
      <c r="C162" s="2483"/>
      <c r="D162" s="2503">
        <v>2026</v>
      </c>
      <c r="E162" s="2503"/>
      <c r="F162" s="2503"/>
      <c r="G162" s="2503"/>
      <c r="H162" s="2487" t="s">
        <v>297</v>
      </c>
      <c r="I162" s="2487"/>
      <c r="J162" s="2487"/>
      <c r="K162" s="2487"/>
      <c r="L162" s="2487"/>
      <c r="M162" s="2487"/>
      <c r="N162" s="2487"/>
      <c r="O162" s="2487"/>
      <c r="P162" s="2488">
        <v>24482</v>
      </c>
      <c r="Q162" s="2489"/>
      <c r="R162" s="2489"/>
      <c r="S162" s="2489"/>
      <c r="T162" s="2284">
        <f>ROUND(IPMT(($AA$3%+0.35%)/11,1,$D$219-$D$208+1,$P$220-(SUM($P$4:P161)))*-1,2)</f>
        <v>7464.74</v>
      </c>
      <c r="U162" s="2284"/>
      <c r="V162" s="2284"/>
      <c r="W162" s="2284"/>
      <c r="X162" s="774"/>
      <c r="Y162" s="773"/>
      <c r="Z162" s="772"/>
      <c r="AA162" s="774"/>
    </row>
    <row r="163" spans="1:27">
      <c r="A163" s="2280">
        <v>40</v>
      </c>
      <c r="B163" s="2483"/>
      <c r="C163" s="2483"/>
      <c r="D163" s="2503">
        <v>2026</v>
      </c>
      <c r="E163" s="2503"/>
      <c r="F163" s="2503"/>
      <c r="G163" s="2503"/>
      <c r="H163" s="2487" t="s">
        <v>298</v>
      </c>
      <c r="I163" s="2487"/>
      <c r="J163" s="2487"/>
      <c r="K163" s="2487"/>
      <c r="L163" s="2487"/>
      <c r="M163" s="2487"/>
      <c r="N163" s="2487"/>
      <c r="O163" s="2487"/>
      <c r="P163" s="2488">
        <v>24482</v>
      </c>
      <c r="Q163" s="2489"/>
      <c r="R163" s="2489"/>
      <c r="S163" s="2489"/>
      <c r="T163" s="2284">
        <f>ROUND(IPMT(($AA$3%+0.35%)/11,1,$D$219-$D$208+1,$P$220-(SUM($P$4:P162)))*-1,2)</f>
        <v>7321.19</v>
      </c>
      <c r="U163" s="2284"/>
      <c r="V163" s="2284"/>
      <c r="W163" s="2284"/>
      <c r="X163" s="774"/>
      <c r="Y163" s="773"/>
      <c r="Z163" s="772"/>
      <c r="AA163" s="774"/>
    </row>
    <row r="164" spans="1:27">
      <c r="A164" s="2280">
        <v>41</v>
      </c>
      <c r="B164" s="2483"/>
      <c r="C164" s="2483"/>
      <c r="D164" s="2503">
        <v>2026</v>
      </c>
      <c r="E164" s="2503"/>
      <c r="F164" s="2503"/>
      <c r="G164" s="2503"/>
      <c r="H164" s="2487" t="s">
        <v>299</v>
      </c>
      <c r="I164" s="2487"/>
      <c r="J164" s="2487"/>
      <c r="K164" s="2487"/>
      <c r="L164" s="2487"/>
      <c r="M164" s="2487"/>
      <c r="N164" s="2487"/>
      <c r="O164" s="2487"/>
      <c r="P164" s="2488">
        <v>24482</v>
      </c>
      <c r="Q164" s="2489"/>
      <c r="R164" s="2489"/>
      <c r="S164" s="2489"/>
      <c r="T164" s="2284">
        <f>ROUND(IPMT(($AA$3%+0.35%)/11,1,$D$219-$D$208+1,$P$220-(SUM($P$4:P163)))*-1,2)</f>
        <v>7177.64</v>
      </c>
      <c r="U164" s="2284"/>
      <c r="V164" s="2284"/>
      <c r="W164" s="2284"/>
      <c r="X164" s="774"/>
      <c r="Y164" s="773"/>
      <c r="Z164" s="772"/>
      <c r="AA164" s="774"/>
    </row>
    <row r="165" spans="1:27">
      <c r="A165" s="2280">
        <v>42</v>
      </c>
      <c r="B165" s="2483"/>
      <c r="C165" s="2483"/>
      <c r="D165" s="2503">
        <v>2026</v>
      </c>
      <c r="E165" s="2503"/>
      <c r="F165" s="2503"/>
      <c r="G165" s="2503"/>
      <c r="H165" s="2487" t="s">
        <v>300</v>
      </c>
      <c r="I165" s="2487"/>
      <c r="J165" s="2487"/>
      <c r="K165" s="2487"/>
      <c r="L165" s="2487"/>
      <c r="M165" s="2487"/>
      <c r="N165" s="2487"/>
      <c r="O165" s="2487"/>
      <c r="P165" s="2488">
        <v>24482</v>
      </c>
      <c r="Q165" s="2489"/>
      <c r="R165" s="2489"/>
      <c r="S165" s="2489"/>
      <c r="T165" s="2284">
        <f>ROUND(IPMT(($AA$3%+0.35%)/11,1,$D$219-$D$208+1,$P$220-(SUM($P$4:P164)))*-1,2)</f>
        <v>7034.08</v>
      </c>
      <c r="U165" s="2284"/>
      <c r="V165" s="2284"/>
      <c r="W165" s="2284"/>
      <c r="X165" s="774"/>
      <c r="Y165" s="773"/>
      <c r="Z165" s="772"/>
      <c r="AA165" s="774"/>
    </row>
    <row r="166" spans="1:27">
      <c r="A166" s="2280">
        <v>43</v>
      </c>
      <c r="B166" s="2483"/>
      <c r="C166" s="2483"/>
      <c r="D166" s="2503">
        <v>2026</v>
      </c>
      <c r="E166" s="2503"/>
      <c r="F166" s="2503"/>
      <c r="G166" s="2503"/>
      <c r="H166" s="2487" t="s">
        <v>301</v>
      </c>
      <c r="I166" s="2487"/>
      <c r="J166" s="2487"/>
      <c r="K166" s="2487"/>
      <c r="L166" s="2487"/>
      <c r="M166" s="2487"/>
      <c r="N166" s="2487"/>
      <c r="O166" s="2487"/>
      <c r="P166" s="2488">
        <v>24482</v>
      </c>
      <c r="Q166" s="2489"/>
      <c r="R166" s="2489"/>
      <c r="S166" s="2489"/>
      <c r="T166" s="2284">
        <f>ROUND(IPMT(($AA$3%+0.35%)/11,1,$D$219-$D$208+1,$P$220-(SUM($P$4:P165)))*-1,2)</f>
        <v>6890.53</v>
      </c>
      <c r="U166" s="2284"/>
      <c r="V166" s="2284"/>
      <c r="W166" s="2284"/>
      <c r="X166" s="774"/>
      <c r="Y166" s="773"/>
      <c r="Z166" s="772"/>
      <c r="AA166" s="774"/>
    </row>
    <row r="167" spans="1:27">
      <c r="A167" s="2280">
        <v>44</v>
      </c>
      <c r="B167" s="2483"/>
      <c r="C167" s="2483"/>
      <c r="D167" s="2503">
        <v>2026</v>
      </c>
      <c r="E167" s="2503"/>
      <c r="F167" s="2503"/>
      <c r="G167" s="2503"/>
      <c r="H167" s="2487" t="s">
        <v>302</v>
      </c>
      <c r="I167" s="2487"/>
      <c r="J167" s="2487"/>
      <c r="K167" s="2487"/>
      <c r="L167" s="2487"/>
      <c r="M167" s="2487"/>
      <c r="N167" s="2487"/>
      <c r="O167" s="2487"/>
      <c r="P167" s="2488">
        <v>24482</v>
      </c>
      <c r="Q167" s="2489"/>
      <c r="R167" s="2489"/>
      <c r="S167" s="2489"/>
      <c r="T167" s="2284">
        <f>ROUND(IPMT(($AA$3%+0.35%)/11,1,$D$219-$D$208+1,$P$220-(SUM($P$4:P166)))*-1,2)</f>
        <v>6746.98</v>
      </c>
      <c r="U167" s="2284"/>
      <c r="V167" s="2284"/>
      <c r="W167" s="2284"/>
      <c r="X167" s="774"/>
      <c r="Y167" s="773"/>
      <c r="Z167" s="772"/>
      <c r="AA167" s="774"/>
    </row>
    <row r="168" spans="1:27">
      <c r="A168" s="2280">
        <v>45</v>
      </c>
      <c r="B168" s="2483"/>
      <c r="C168" s="2483"/>
      <c r="D168" s="2503">
        <v>2026</v>
      </c>
      <c r="E168" s="2503"/>
      <c r="F168" s="2503"/>
      <c r="G168" s="2503"/>
      <c r="H168" s="2487" t="s">
        <v>303</v>
      </c>
      <c r="I168" s="2487"/>
      <c r="J168" s="2487"/>
      <c r="K168" s="2487"/>
      <c r="L168" s="2487"/>
      <c r="M168" s="2487"/>
      <c r="N168" s="2487"/>
      <c r="O168" s="2487"/>
      <c r="P168" s="2488">
        <v>24482</v>
      </c>
      <c r="Q168" s="2489"/>
      <c r="R168" s="2489"/>
      <c r="S168" s="2489"/>
      <c r="T168" s="2284">
        <f>ROUND(IPMT(($AA$3%+0.35%)/11,1,$D$219-$D$208+1,$P$220-(SUM($P$4:P167)))*-1,2)</f>
        <v>6603.42</v>
      </c>
      <c r="U168" s="2284"/>
      <c r="V168" s="2284"/>
      <c r="W168" s="2284"/>
      <c r="X168" s="774"/>
      <c r="Y168" s="773"/>
      <c r="Z168" s="772"/>
      <c r="AA168" s="774"/>
    </row>
    <row r="169" spans="1:27">
      <c r="A169" s="2280">
        <v>46</v>
      </c>
      <c r="B169" s="2483"/>
      <c r="C169" s="2483"/>
      <c r="D169" s="2503">
        <v>2026</v>
      </c>
      <c r="E169" s="2503"/>
      <c r="F169" s="2503"/>
      <c r="G169" s="2503"/>
      <c r="H169" s="2487" t="s">
        <v>304</v>
      </c>
      <c r="I169" s="2487"/>
      <c r="J169" s="2487"/>
      <c r="K169" s="2487"/>
      <c r="L169" s="2487"/>
      <c r="M169" s="2487"/>
      <c r="N169" s="2487"/>
      <c r="O169" s="2487"/>
      <c r="P169" s="2488">
        <v>24482</v>
      </c>
      <c r="Q169" s="2489"/>
      <c r="R169" s="2489"/>
      <c r="S169" s="2489"/>
      <c r="T169" s="2284">
        <f>ROUND(IPMT(($AA$3%+0.35%)/11,1,$D$219-$D$208+1,$P$220-(SUM($P$4:P168)))*-1,2)</f>
        <v>6459.87</v>
      </c>
      <c r="U169" s="2284"/>
      <c r="V169" s="2284"/>
      <c r="W169" s="2284"/>
      <c r="X169" s="774"/>
      <c r="Y169" s="773"/>
      <c r="Z169" s="772"/>
      <c r="AA169" s="774"/>
    </row>
    <row r="170" spans="1:27">
      <c r="A170" s="2280">
        <v>47</v>
      </c>
      <c r="B170" s="2483"/>
      <c r="C170" s="2483"/>
      <c r="D170" s="2503">
        <v>2026</v>
      </c>
      <c r="E170" s="2503"/>
      <c r="F170" s="2503"/>
      <c r="G170" s="2503"/>
      <c r="H170" s="2487" t="s">
        <v>305</v>
      </c>
      <c r="I170" s="2487"/>
      <c r="J170" s="2487"/>
      <c r="K170" s="2487"/>
      <c r="L170" s="2487"/>
      <c r="M170" s="2487"/>
      <c r="N170" s="2487"/>
      <c r="O170" s="2487"/>
      <c r="P170" s="2488">
        <v>24482</v>
      </c>
      <c r="Q170" s="2489"/>
      <c r="R170" s="2489"/>
      <c r="S170" s="2489"/>
      <c r="T170" s="2284">
        <f>ROUND(IPMT(($AA$3%+0.35%)/11,1,$D$219-$D$208+1,$P$220-(SUM($P$4:P169)))*-1,2)</f>
        <v>6316.31</v>
      </c>
      <c r="U170" s="2284"/>
      <c r="V170" s="2284"/>
      <c r="W170" s="2284"/>
      <c r="X170" s="774"/>
      <c r="Y170" s="773"/>
      <c r="Z170" s="772"/>
      <c r="AA170" s="774"/>
    </row>
    <row r="171" spans="1:27">
      <c r="A171" s="2280">
        <v>48</v>
      </c>
      <c r="B171" s="2483"/>
      <c r="C171" s="2483"/>
      <c r="D171" s="2503">
        <v>2026</v>
      </c>
      <c r="E171" s="2503"/>
      <c r="F171" s="2503"/>
      <c r="G171" s="2503"/>
      <c r="H171" s="2502" t="s">
        <v>306</v>
      </c>
      <c r="I171" s="2502"/>
      <c r="J171" s="2502"/>
      <c r="K171" s="2502"/>
      <c r="L171" s="2502"/>
      <c r="M171" s="2502"/>
      <c r="N171" s="2502"/>
      <c r="O171" s="2502"/>
      <c r="P171" s="2488">
        <v>24482</v>
      </c>
      <c r="Q171" s="2489"/>
      <c r="R171" s="2489"/>
      <c r="S171" s="2489"/>
      <c r="T171" s="2279">
        <f>ROUND(IPMT(($AA$3%+0.35%)/11,1,$D$219-$D$208+1,$P$220-(SUM($P$4:P170)))*-1,2)</f>
        <v>6172.76</v>
      </c>
      <c r="U171" s="2279"/>
      <c r="V171" s="2279"/>
      <c r="W171" s="2279"/>
      <c r="X171" s="774"/>
      <c r="Y171" s="2494">
        <f>SUM(T160:W171)</f>
        <v>83547.669999999984</v>
      </c>
      <c r="Z171" s="2495"/>
      <c r="AA171" s="774"/>
    </row>
    <row r="172" spans="1:27">
      <c r="A172" s="2496">
        <v>38</v>
      </c>
      <c r="B172" s="2497"/>
      <c r="C172" s="2497"/>
      <c r="D172" s="2498">
        <v>2027</v>
      </c>
      <c r="E172" s="2498"/>
      <c r="F172" s="2498"/>
      <c r="G172" s="2498"/>
      <c r="H172" s="2498" t="s">
        <v>295</v>
      </c>
      <c r="I172" s="2498"/>
      <c r="J172" s="2498"/>
      <c r="K172" s="2498"/>
      <c r="L172" s="2498"/>
      <c r="M172" s="2498"/>
      <c r="N172" s="2498"/>
      <c r="O172" s="2498"/>
      <c r="P172" s="2488">
        <v>24482</v>
      </c>
      <c r="Q172" s="2489"/>
      <c r="R172" s="2489"/>
      <c r="S172" s="2489"/>
      <c r="T172" s="2501">
        <f>ROUND(IPMT(($AA$3%+0.35%)/11,1,$D$219-$D$208+1,$P$220-(SUM($P$4:P170)))*-1,2)</f>
        <v>6172.76</v>
      </c>
      <c r="U172" s="2501"/>
      <c r="V172" s="2501"/>
      <c r="W172" s="2501"/>
      <c r="X172" s="774"/>
      <c r="Y172" s="773"/>
      <c r="Z172" s="772"/>
      <c r="AA172" s="774"/>
    </row>
    <row r="173" spans="1:27">
      <c r="A173" s="2280">
        <v>38</v>
      </c>
      <c r="B173" s="2483"/>
      <c r="C173" s="2483"/>
      <c r="D173" s="2487">
        <v>2027</v>
      </c>
      <c r="E173" s="2487"/>
      <c r="F173" s="2487"/>
      <c r="G173" s="2487"/>
      <c r="H173" s="2487" t="s">
        <v>296</v>
      </c>
      <c r="I173" s="2487"/>
      <c r="J173" s="2487"/>
      <c r="K173" s="2487"/>
      <c r="L173" s="2487"/>
      <c r="M173" s="2487"/>
      <c r="N173" s="2487"/>
      <c r="O173" s="2487"/>
      <c r="P173" s="2488">
        <v>24482</v>
      </c>
      <c r="Q173" s="2489"/>
      <c r="R173" s="2489"/>
      <c r="S173" s="2489"/>
      <c r="T173" s="2284">
        <f>ROUND(IPMT(($AA$3%+0.35%)/11,1,$D$219-$D$208+1,$P$220-(SUM($P$4:P171)))*-1,2)</f>
        <v>6029.21</v>
      </c>
      <c r="U173" s="2284"/>
      <c r="V173" s="2284"/>
      <c r="W173" s="2284"/>
      <c r="X173" s="774"/>
      <c r="Y173" s="773"/>
      <c r="Z173" s="772"/>
      <c r="AA173" s="774"/>
    </row>
    <row r="174" spans="1:27">
      <c r="A174" s="2280">
        <v>39</v>
      </c>
      <c r="B174" s="2483"/>
      <c r="C174" s="2483"/>
      <c r="D174" s="2487">
        <v>2027</v>
      </c>
      <c r="E174" s="2487"/>
      <c r="F174" s="2487"/>
      <c r="G174" s="2487"/>
      <c r="H174" s="2487" t="s">
        <v>297</v>
      </c>
      <c r="I174" s="2487"/>
      <c r="J174" s="2487"/>
      <c r="K174" s="2487"/>
      <c r="L174" s="2487"/>
      <c r="M174" s="2487"/>
      <c r="N174" s="2487"/>
      <c r="O174" s="2487"/>
      <c r="P174" s="2488">
        <v>24482</v>
      </c>
      <c r="Q174" s="2489"/>
      <c r="R174" s="2489"/>
      <c r="S174" s="2489"/>
      <c r="T174" s="2284">
        <f>ROUND(IPMT(($AA$3%+0.35%)/11,1,$D$219-$D$208+1,$P$220-(SUM($P$4:P173)))*-1,2)</f>
        <v>5742.1</v>
      </c>
      <c r="U174" s="2284"/>
      <c r="V174" s="2284"/>
      <c r="W174" s="2284"/>
      <c r="X174" s="774"/>
      <c r="Y174" s="773"/>
      <c r="Z174" s="772"/>
      <c r="AA174" s="774"/>
    </row>
    <row r="175" spans="1:27">
      <c r="A175" s="2280">
        <v>40</v>
      </c>
      <c r="B175" s="2483"/>
      <c r="C175" s="2483"/>
      <c r="D175" s="2487">
        <v>2027</v>
      </c>
      <c r="E175" s="2487"/>
      <c r="F175" s="2487"/>
      <c r="G175" s="2487"/>
      <c r="H175" s="2487" t="s">
        <v>298</v>
      </c>
      <c r="I175" s="2487"/>
      <c r="J175" s="2487"/>
      <c r="K175" s="2487"/>
      <c r="L175" s="2487"/>
      <c r="M175" s="2487"/>
      <c r="N175" s="2487"/>
      <c r="O175" s="2487"/>
      <c r="P175" s="2488">
        <v>24482</v>
      </c>
      <c r="Q175" s="2489"/>
      <c r="R175" s="2489"/>
      <c r="S175" s="2489"/>
      <c r="T175" s="2284">
        <f>ROUND(IPMT(($AA$3%+0.35%)/11,1,$D$219-$D$208+1,$P$220-(SUM($P$4:P174)))*-1,2)</f>
        <v>5598.55</v>
      </c>
      <c r="U175" s="2284"/>
      <c r="V175" s="2284"/>
      <c r="W175" s="2284"/>
      <c r="X175" s="774"/>
      <c r="Y175" s="773"/>
      <c r="Z175" s="772"/>
      <c r="AA175" s="774"/>
    </row>
    <row r="176" spans="1:27">
      <c r="A176" s="2280">
        <v>41</v>
      </c>
      <c r="B176" s="2483"/>
      <c r="C176" s="2483"/>
      <c r="D176" s="2487">
        <v>2027</v>
      </c>
      <c r="E176" s="2487"/>
      <c r="F176" s="2487"/>
      <c r="G176" s="2487"/>
      <c r="H176" s="2487" t="s">
        <v>299</v>
      </c>
      <c r="I176" s="2487"/>
      <c r="J176" s="2487"/>
      <c r="K176" s="2487"/>
      <c r="L176" s="2487"/>
      <c r="M176" s="2487"/>
      <c r="N176" s="2487"/>
      <c r="O176" s="2487"/>
      <c r="P176" s="2488">
        <v>24482</v>
      </c>
      <c r="Q176" s="2489"/>
      <c r="R176" s="2489"/>
      <c r="S176" s="2489"/>
      <c r="T176" s="2284">
        <f>ROUND(IPMT(($AA$3%+0.35%)/11,1,$D$219-$D$208+1,$P$220-(SUM($P$4:P175)))*-1,2)</f>
        <v>5454.99</v>
      </c>
      <c r="U176" s="2284"/>
      <c r="V176" s="2284"/>
      <c r="W176" s="2284"/>
      <c r="X176" s="774"/>
      <c r="Y176" s="773"/>
      <c r="Z176" s="772"/>
      <c r="AA176" s="774"/>
    </row>
    <row r="177" spans="1:27">
      <c r="A177" s="2280">
        <v>42</v>
      </c>
      <c r="B177" s="2483"/>
      <c r="C177" s="2483"/>
      <c r="D177" s="2487">
        <v>2027</v>
      </c>
      <c r="E177" s="2487"/>
      <c r="F177" s="2487"/>
      <c r="G177" s="2487"/>
      <c r="H177" s="2487" t="s">
        <v>300</v>
      </c>
      <c r="I177" s="2487"/>
      <c r="J177" s="2487"/>
      <c r="K177" s="2487"/>
      <c r="L177" s="2487"/>
      <c r="M177" s="2487"/>
      <c r="N177" s="2487"/>
      <c r="O177" s="2487"/>
      <c r="P177" s="2488">
        <v>24482</v>
      </c>
      <c r="Q177" s="2489"/>
      <c r="R177" s="2489"/>
      <c r="S177" s="2489"/>
      <c r="T177" s="2284">
        <f>ROUND(IPMT(($AA$3%+0.35%)/11,1,$D$219-$D$208+1,$P$220-(SUM($P$4:P176)))*-1,2)</f>
        <v>5311.44</v>
      </c>
      <c r="U177" s="2284"/>
      <c r="V177" s="2284"/>
      <c r="W177" s="2284"/>
      <c r="X177" s="774"/>
      <c r="Y177" s="773"/>
      <c r="Z177" s="772"/>
      <c r="AA177" s="774"/>
    </row>
    <row r="178" spans="1:27">
      <c r="A178" s="2280">
        <v>43</v>
      </c>
      <c r="B178" s="2483"/>
      <c r="C178" s="2483"/>
      <c r="D178" s="2487">
        <v>2027</v>
      </c>
      <c r="E178" s="2487"/>
      <c r="F178" s="2487"/>
      <c r="G178" s="2487"/>
      <c r="H178" s="2487" t="s">
        <v>301</v>
      </c>
      <c r="I178" s="2487"/>
      <c r="J178" s="2487"/>
      <c r="K178" s="2487"/>
      <c r="L178" s="2487"/>
      <c r="M178" s="2487"/>
      <c r="N178" s="2487"/>
      <c r="O178" s="2487"/>
      <c r="P178" s="2488">
        <v>24482</v>
      </c>
      <c r="Q178" s="2489"/>
      <c r="R178" s="2489"/>
      <c r="S178" s="2489"/>
      <c r="T178" s="2284">
        <f>ROUND(IPMT(($AA$3%+0.35%)/11,1,$D$219-$D$208+1,$P$220-(SUM($P$4:P177)))*-1,2)</f>
        <v>5167.8900000000003</v>
      </c>
      <c r="U178" s="2284"/>
      <c r="V178" s="2284"/>
      <c r="W178" s="2284"/>
      <c r="X178" s="774"/>
      <c r="Y178" s="773"/>
      <c r="Z178" s="772"/>
      <c r="AA178" s="774"/>
    </row>
    <row r="179" spans="1:27">
      <c r="A179" s="2280">
        <v>44</v>
      </c>
      <c r="B179" s="2483"/>
      <c r="C179" s="2483"/>
      <c r="D179" s="2487">
        <v>2027</v>
      </c>
      <c r="E179" s="2487"/>
      <c r="F179" s="2487"/>
      <c r="G179" s="2487"/>
      <c r="H179" s="2487" t="s">
        <v>302</v>
      </c>
      <c r="I179" s="2487"/>
      <c r="J179" s="2487"/>
      <c r="K179" s="2487"/>
      <c r="L179" s="2487"/>
      <c r="M179" s="2487"/>
      <c r="N179" s="2487"/>
      <c r="O179" s="2487"/>
      <c r="P179" s="2488">
        <v>24482</v>
      </c>
      <c r="Q179" s="2489"/>
      <c r="R179" s="2489"/>
      <c r="S179" s="2489"/>
      <c r="T179" s="2284">
        <f>ROUND(IPMT(($AA$3%+0.35%)/11,1,$D$219-$D$208+1,$P$220-(SUM($P$4:P178)))*-1,2)</f>
        <v>5024.33</v>
      </c>
      <c r="U179" s="2284"/>
      <c r="V179" s="2284"/>
      <c r="W179" s="2284"/>
      <c r="X179" s="774"/>
      <c r="Y179" s="773"/>
      <c r="Z179" s="772"/>
      <c r="AA179" s="774"/>
    </row>
    <row r="180" spans="1:27">
      <c r="A180" s="2280">
        <v>45</v>
      </c>
      <c r="B180" s="2483"/>
      <c r="C180" s="2483"/>
      <c r="D180" s="2487">
        <v>2027</v>
      </c>
      <c r="E180" s="2487"/>
      <c r="F180" s="2487"/>
      <c r="G180" s="2487"/>
      <c r="H180" s="2487" t="s">
        <v>303</v>
      </c>
      <c r="I180" s="2487"/>
      <c r="J180" s="2487"/>
      <c r="K180" s="2487"/>
      <c r="L180" s="2487"/>
      <c r="M180" s="2487"/>
      <c r="N180" s="2487"/>
      <c r="O180" s="2487"/>
      <c r="P180" s="2488">
        <v>24482</v>
      </c>
      <c r="Q180" s="2489"/>
      <c r="R180" s="2489"/>
      <c r="S180" s="2489"/>
      <c r="T180" s="2284">
        <f>ROUND(IPMT(($AA$3%+0.35%)/11,1,$D$219-$D$208+1,$P$220-(SUM($P$4:P179)))*-1,2)</f>
        <v>4880.78</v>
      </c>
      <c r="U180" s="2284"/>
      <c r="V180" s="2284"/>
      <c r="W180" s="2284"/>
      <c r="X180" s="774"/>
      <c r="Y180" s="773"/>
      <c r="Z180" s="772"/>
      <c r="AA180" s="774"/>
    </row>
    <row r="181" spans="1:27">
      <c r="A181" s="2280">
        <v>46</v>
      </c>
      <c r="B181" s="2483"/>
      <c r="C181" s="2483"/>
      <c r="D181" s="2487">
        <v>2027</v>
      </c>
      <c r="E181" s="2487"/>
      <c r="F181" s="2487"/>
      <c r="G181" s="2487"/>
      <c r="H181" s="2487" t="s">
        <v>304</v>
      </c>
      <c r="I181" s="2487"/>
      <c r="J181" s="2487"/>
      <c r="K181" s="2487"/>
      <c r="L181" s="2487"/>
      <c r="M181" s="2487"/>
      <c r="N181" s="2487"/>
      <c r="O181" s="2487"/>
      <c r="P181" s="2488">
        <v>24482</v>
      </c>
      <c r="Q181" s="2489"/>
      <c r="R181" s="2489"/>
      <c r="S181" s="2489"/>
      <c r="T181" s="2284">
        <f>ROUND(IPMT(($AA$3%+0.35%)/11,1,$D$219-$D$208+1,$P$220-(SUM($P$4:P180)))*-1,2)</f>
        <v>4737.2299999999996</v>
      </c>
      <c r="U181" s="2284"/>
      <c r="V181" s="2284"/>
      <c r="W181" s="2284"/>
      <c r="X181" s="774"/>
      <c r="Y181" s="773"/>
      <c r="Z181" s="772"/>
      <c r="AA181" s="774"/>
    </row>
    <row r="182" spans="1:27">
      <c r="A182" s="2280">
        <v>47</v>
      </c>
      <c r="B182" s="2483"/>
      <c r="C182" s="2483"/>
      <c r="D182" s="2487">
        <v>2027</v>
      </c>
      <c r="E182" s="2487"/>
      <c r="F182" s="2487"/>
      <c r="G182" s="2487"/>
      <c r="H182" s="2487" t="s">
        <v>305</v>
      </c>
      <c r="I182" s="2487"/>
      <c r="J182" s="2487"/>
      <c r="K182" s="2487"/>
      <c r="L182" s="2487"/>
      <c r="M182" s="2487"/>
      <c r="N182" s="2487"/>
      <c r="O182" s="2487"/>
      <c r="P182" s="2488">
        <v>24482</v>
      </c>
      <c r="Q182" s="2489"/>
      <c r="R182" s="2489"/>
      <c r="S182" s="2489"/>
      <c r="T182" s="2284">
        <f>ROUND(IPMT(($AA$3%+0.35%)/11,1,$D$219-$D$208+1,$P$220-(SUM($P$4:P181)))*-1,2)</f>
        <v>4593.67</v>
      </c>
      <c r="U182" s="2284"/>
      <c r="V182" s="2284"/>
      <c r="W182" s="2284"/>
      <c r="X182" s="774"/>
      <c r="Y182" s="773"/>
      <c r="Z182" s="772"/>
      <c r="AA182" s="774"/>
    </row>
    <row r="183" spans="1:27">
      <c r="A183" s="2280">
        <v>48</v>
      </c>
      <c r="B183" s="2483"/>
      <c r="C183" s="2483"/>
      <c r="D183" s="2487">
        <v>2027</v>
      </c>
      <c r="E183" s="2487"/>
      <c r="F183" s="2487"/>
      <c r="G183" s="2487"/>
      <c r="H183" s="2502" t="s">
        <v>306</v>
      </c>
      <c r="I183" s="2502"/>
      <c r="J183" s="2502"/>
      <c r="K183" s="2502"/>
      <c r="L183" s="2502"/>
      <c r="M183" s="2502"/>
      <c r="N183" s="2502"/>
      <c r="O183" s="2502"/>
      <c r="P183" s="2488">
        <v>24482</v>
      </c>
      <c r="Q183" s="2489"/>
      <c r="R183" s="2489"/>
      <c r="S183" s="2489"/>
      <c r="T183" s="2279">
        <f>ROUND(IPMT(($AA$3%+0.35%)/11,1,$D$219-$D$208+1,$P$220-(SUM($P$4:P182)))*-1,2)</f>
        <v>4450.12</v>
      </c>
      <c r="U183" s="2279"/>
      <c r="V183" s="2279"/>
      <c r="W183" s="2279"/>
      <c r="X183" s="774"/>
      <c r="Y183" s="2494">
        <f>SUM(T172:W183)</f>
        <v>63163.07</v>
      </c>
      <c r="Z183" s="2495"/>
      <c r="AA183" s="774"/>
    </row>
    <row r="184" spans="1:27">
      <c r="A184" s="2496">
        <v>37</v>
      </c>
      <c r="B184" s="2497"/>
      <c r="C184" s="2497"/>
      <c r="D184" s="2498">
        <v>2028</v>
      </c>
      <c r="E184" s="2498"/>
      <c r="F184" s="2498"/>
      <c r="G184" s="2498"/>
      <c r="H184" s="2498" t="s">
        <v>295</v>
      </c>
      <c r="I184" s="2498"/>
      <c r="J184" s="2498"/>
      <c r="K184" s="2498"/>
      <c r="L184" s="2498"/>
      <c r="M184" s="2498"/>
      <c r="N184" s="2498"/>
      <c r="O184" s="2498"/>
      <c r="P184" s="2488">
        <v>24482</v>
      </c>
      <c r="Q184" s="2489"/>
      <c r="R184" s="2489"/>
      <c r="S184" s="2489"/>
      <c r="T184" s="2501">
        <f>ROUND(IPMT(($AA$3%+0.35%)/11,1,$D$219-$D$88+1,$P$220-(SUM($P$4:P183)))*-1,2)</f>
        <v>4306.57</v>
      </c>
      <c r="U184" s="2501"/>
      <c r="V184" s="2501"/>
      <c r="W184" s="2501"/>
      <c r="X184" s="774"/>
      <c r="Y184" s="773"/>
      <c r="Z184" s="772"/>
      <c r="AA184" s="774"/>
    </row>
    <row r="185" spans="1:27">
      <c r="A185" s="2280">
        <v>38</v>
      </c>
      <c r="B185" s="2483"/>
      <c r="C185" s="2483"/>
      <c r="D185" s="2487">
        <v>2028</v>
      </c>
      <c r="E185" s="2487"/>
      <c r="F185" s="2487"/>
      <c r="G185" s="2487"/>
      <c r="H185" s="2487" t="s">
        <v>296</v>
      </c>
      <c r="I185" s="2487"/>
      <c r="J185" s="2487"/>
      <c r="K185" s="2487"/>
      <c r="L185" s="2487"/>
      <c r="M185" s="2487"/>
      <c r="N185" s="2487"/>
      <c r="O185" s="2487"/>
      <c r="P185" s="2488">
        <v>24482</v>
      </c>
      <c r="Q185" s="2489"/>
      <c r="R185" s="2489"/>
      <c r="S185" s="2489"/>
      <c r="T185" s="2284">
        <f>ROUND(IPMT(($AA$3%+0.35%)/11,1,$D$219-$D$208+1,$P$220-(SUM($P$4:P184)))*-1,2)</f>
        <v>4163.01</v>
      </c>
      <c r="U185" s="2284"/>
      <c r="V185" s="2284"/>
      <c r="W185" s="2284"/>
      <c r="X185" s="774"/>
      <c r="Y185" s="773"/>
      <c r="Z185" s="772"/>
      <c r="AA185" s="774"/>
    </row>
    <row r="186" spans="1:27">
      <c r="A186" s="2280">
        <v>39</v>
      </c>
      <c r="B186" s="2483"/>
      <c r="C186" s="2483"/>
      <c r="D186" s="2487">
        <v>2028</v>
      </c>
      <c r="E186" s="2487"/>
      <c r="F186" s="2487"/>
      <c r="G186" s="2487"/>
      <c r="H186" s="2487" t="s">
        <v>297</v>
      </c>
      <c r="I186" s="2487"/>
      <c r="J186" s="2487"/>
      <c r="K186" s="2487"/>
      <c r="L186" s="2487"/>
      <c r="M186" s="2487"/>
      <c r="N186" s="2487"/>
      <c r="O186" s="2487"/>
      <c r="P186" s="2488">
        <v>24482</v>
      </c>
      <c r="Q186" s="2489"/>
      <c r="R186" s="2489"/>
      <c r="S186" s="2489"/>
      <c r="T186" s="2284">
        <f>ROUND(IPMT(($AA$3%+0.35%)/11,1,$D$219-$D$208+1,$P$220-(SUM($P$4:P185)))*-1,2)</f>
        <v>4019.46</v>
      </c>
      <c r="U186" s="2284"/>
      <c r="V186" s="2284"/>
      <c r="W186" s="2284"/>
      <c r="X186" s="774"/>
      <c r="Y186" s="773"/>
      <c r="Z186" s="772"/>
      <c r="AA186" s="774"/>
    </row>
    <row r="187" spans="1:27">
      <c r="A187" s="2280">
        <v>40</v>
      </c>
      <c r="B187" s="2483"/>
      <c r="C187" s="2483"/>
      <c r="D187" s="2487">
        <v>2028</v>
      </c>
      <c r="E187" s="2487"/>
      <c r="F187" s="2487"/>
      <c r="G187" s="2487"/>
      <c r="H187" s="2487" t="s">
        <v>298</v>
      </c>
      <c r="I187" s="2487"/>
      <c r="J187" s="2487"/>
      <c r="K187" s="2487"/>
      <c r="L187" s="2487"/>
      <c r="M187" s="2487"/>
      <c r="N187" s="2487"/>
      <c r="O187" s="2487"/>
      <c r="P187" s="2488">
        <v>24482</v>
      </c>
      <c r="Q187" s="2489"/>
      <c r="R187" s="2489"/>
      <c r="S187" s="2489"/>
      <c r="T187" s="2284">
        <f>ROUND(IPMT(($AA$3%+0.35%)/11,1,$D$219-$D$208+1,$P$220-(SUM($P$4:P186)))*-1,2)</f>
        <v>3875.9</v>
      </c>
      <c r="U187" s="2284"/>
      <c r="V187" s="2284"/>
      <c r="W187" s="2284"/>
      <c r="X187" s="774"/>
      <c r="Y187" s="773"/>
      <c r="Z187" s="772"/>
      <c r="AA187" s="774"/>
    </row>
    <row r="188" spans="1:27">
      <c r="A188" s="2280">
        <v>41</v>
      </c>
      <c r="B188" s="2483"/>
      <c r="C188" s="2483"/>
      <c r="D188" s="2487">
        <v>2028</v>
      </c>
      <c r="E188" s="2487"/>
      <c r="F188" s="2487"/>
      <c r="G188" s="2487"/>
      <c r="H188" s="2487" t="s">
        <v>299</v>
      </c>
      <c r="I188" s="2487"/>
      <c r="J188" s="2487"/>
      <c r="K188" s="2487"/>
      <c r="L188" s="2487"/>
      <c r="M188" s="2487"/>
      <c r="N188" s="2487"/>
      <c r="O188" s="2487"/>
      <c r="P188" s="2488">
        <v>24482</v>
      </c>
      <c r="Q188" s="2489"/>
      <c r="R188" s="2489"/>
      <c r="S188" s="2489"/>
      <c r="T188" s="2284">
        <f>ROUND(IPMT(($AA$3%+0.35%)/11,1,$D$219-$D$208+1,$P$220-(SUM($P$4:P187)))*-1,2)</f>
        <v>3732.35</v>
      </c>
      <c r="U188" s="2284"/>
      <c r="V188" s="2284"/>
      <c r="W188" s="2284"/>
      <c r="X188" s="774"/>
      <c r="Y188" s="773"/>
      <c r="Z188" s="772"/>
      <c r="AA188" s="774"/>
    </row>
    <row r="189" spans="1:27">
      <c r="A189" s="2280">
        <v>42</v>
      </c>
      <c r="B189" s="2483"/>
      <c r="C189" s="2483"/>
      <c r="D189" s="2487">
        <v>2028</v>
      </c>
      <c r="E189" s="2487"/>
      <c r="F189" s="2487"/>
      <c r="G189" s="2487"/>
      <c r="H189" s="2487" t="s">
        <v>300</v>
      </c>
      <c r="I189" s="2487"/>
      <c r="J189" s="2487"/>
      <c r="K189" s="2487"/>
      <c r="L189" s="2487"/>
      <c r="M189" s="2487"/>
      <c r="N189" s="2487"/>
      <c r="O189" s="2487"/>
      <c r="P189" s="2488">
        <v>24482</v>
      </c>
      <c r="Q189" s="2489"/>
      <c r="R189" s="2489"/>
      <c r="S189" s="2489"/>
      <c r="T189" s="2284">
        <f>ROUND(IPMT(($AA$3%+0.35%)/11,1,$D$219-$D$208+1,$P$220-(SUM($P$4:P188)))*-1,2)</f>
        <v>3588.8</v>
      </c>
      <c r="U189" s="2284"/>
      <c r="V189" s="2284"/>
      <c r="W189" s="2284"/>
      <c r="X189" s="774"/>
      <c r="Y189" s="773"/>
      <c r="Z189" s="772"/>
      <c r="AA189" s="774"/>
    </row>
    <row r="190" spans="1:27">
      <c r="A190" s="2280">
        <v>43</v>
      </c>
      <c r="B190" s="2483"/>
      <c r="C190" s="2483"/>
      <c r="D190" s="2487">
        <v>2028</v>
      </c>
      <c r="E190" s="2487"/>
      <c r="F190" s="2487"/>
      <c r="G190" s="2487"/>
      <c r="H190" s="2487" t="s">
        <v>301</v>
      </c>
      <c r="I190" s="2487"/>
      <c r="J190" s="2487"/>
      <c r="K190" s="2487"/>
      <c r="L190" s="2487"/>
      <c r="M190" s="2487"/>
      <c r="N190" s="2487"/>
      <c r="O190" s="2487"/>
      <c r="P190" s="2488">
        <v>24482</v>
      </c>
      <c r="Q190" s="2489"/>
      <c r="R190" s="2489"/>
      <c r="S190" s="2489"/>
      <c r="T190" s="2284">
        <f>ROUND(IPMT(($AA$3%+0.35%)/11,1,$D$219-$D$208+1,$P$220-(SUM($P$4:P189)))*-1,2)</f>
        <v>3445.24</v>
      </c>
      <c r="U190" s="2284"/>
      <c r="V190" s="2284"/>
      <c r="W190" s="2284"/>
      <c r="X190" s="774"/>
      <c r="Y190" s="773"/>
      <c r="Z190" s="772"/>
      <c r="AA190" s="774"/>
    </row>
    <row r="191" spans="1:27">
      <c r="A191" s="2280">
        <v>44</v>
      </c>
      <c r="B191" s="2483"/>
      <c r="C191" s="2483"/>
      <c r="D191" s="2487">
        <v>2028</v>
      </c>
      <c r="E191" s="2487"/>
      <c r="F191" s="2487"/>
      <c r="G191" s="2487"/>
      <c r="H191" s="2487" t="s">
        <v>302</v>
      </c>
      <c r="I191" s="2487"/>
      <c r="J191" s="2487"/>
      <c r="K191" s="2487"/>
      <c r="L191" s="2487"/>
      <c r="M191" s="2487"/>
      <c r="N191" s="2487"/>
      <c r="O191" s="2487"/>
      <c r="P191" s="2488">
        <v>24482</v>
      </c>
      <c r="Q191" s="2489"/>
      <c r="R191" s="2489"/>
      <c r="S191" s="2489"/>
      <c r="T191" s="2284">
        <f>ROUND(IPMT(($AA$3%+0.35%)/11,1,$D$219-$D$208+1,$P$220-(SUM($P$4:P190)))*-1,2)</f>
        <v>3301.69</v>
      </c>
      <c r="U191" s="2284"/>
      <c r="V191" s="2284"/>
      <c r="W191" s="2284"/>
      <c r="X191" s="774"/>
      <c r="Y191" s="773"/>
      <c r="Z191" s="772"/>
      <c r="AA191" s="774"/>
    </row>
    <row r="192" spans="1:27">
      <c r="A192" s="2280">
        <v>45</v>
      </c>
      <c r="B192" s="2483"/>
      <c r="C192" s="2483"/>
      <c r="D192" s="2487">
        <v>2028</v>
      </c>
      <c r="E192" s="2487"/>
      <c r="F192" s="2487"/>
      <c r="G192" s="2487"/>
      <c r="H192" s="2487" t="s">
        <v>303</v>
      </c>
      <c r="I192" s="2487"/>
      <c r="J192" s="2487"/>
      <c r="K192" s="2487"/>
      <c r="L192" s="2487"/>
      <c r="M192" s="2487"/>
      <c r="N192" s="2487"/>
      <c r="O192" s="2487"/>
      <c r="P192" s="2488">
        <v>24482</v>
      </c>
      <c r="Q192" s="2489"/>
      <c r="R192" s="2489"/>
      <c r="S192" s="2489"/>
      <c r="T192" s="2284">
        <f>ROUND(IPMT(($AA$3%+0.35%)/11,1,$D$219-$D$208+1,$P$220-(SUM($P$4:P191)))*-1,2)</f>
        <v>3158.14</v>
      </c>
      <c r="U192" s="2284"/>
      <c r="V192" s="2284"/>
      <c r="W192" s="2284"/>
      <c r="X192" s="774"/>
      <c r="Y192" s="773"/>
      <c r="Z192" s="772"/>
      <c r="AA192" s="774"/>
    </row>
    <row r="193" spans="1:27">
      <c r="A193" s="2280">
        <v>46</v>
      </c>
      <c r="B193" s="2483"/>
      <c r="C193" s="2483"/>
      <c r="D193" s="2487">
        <v>2028</v>
      </c>
      <c r="E193" s="2487"/>
      <c r="F193" s="2487"/>
      <c r="G193" s="2487"/>
      <c r="H193" s="2487" t="s">
        <v>304</v>
      </c>
      <c r="I193" s="2487"/>
      <c r="J193" s="2487"/>
      <c r="K193" s="2487"/>
      <c r="L193" s="2487"/>
      <c r="M193" s="2487"/>
      <c r="N193" s="2487"/>
      <c r="O193" s="2487"/>
      <c r="P193" s="2488">
        <v>24482</v>
      </c>
      <c r="Q193" s="2489"/>
      <c r="R193" s="2489"/>
      <c r="S193" s="2489"/>
      <c r="T193" s="2284">
        <f>ROUND(IPMT(($AA$3%+0.35%)/11,1,$D$219-$D$208+1,$P$220-(SUM($P$4:P192)))*-1,2)</f>
        <v>3014.58</v>
      </c>
      <c r="U193" s="2284"/>
      <c r="V193" s="2284"/>
      <c r="W193" s="2284"/>
      <c r="X193" s="774"/>
      <c r="Y193" s="773"/>
      <c r="Z193" s="772"/>
      <c r="AA193" s="774"/>
    </row>
    <row r="194" spans="1:27">
      <c r="A194" s="2280">
        <v>47</v>
      </c>
      <c r="B194" s="2483"/>
      <c r="C194" s="2483"/>
      <c r="D194" s="2487">
        <v>2028</v>
      </c>
      <c r="E194" s="2487"/>
      <c r="F194" s="2487"/>
      <c r="G194" s="2487"/>
      <c r="H194" s="2487" t="s">
        <v>305</v>
      </c>
      <c r="I194" s="2487"/>
      <c r="J194" s="2487"/>
      <c r="K194" s="2487"/>
      <c r="L194" s="2487"/>
      <c r="M194" s="2487"/>
      <c r="N194" s="2487"/>
      <c r="O194" s="2487"/>
      <c r="P194" s="2488">
        <v>24482</v>
      </c>
      <c r="Q194" s="2489"/>
      <c r="R194" s="2489"/>
      <c r="S194" s="2489"/>
      <c r="T194" s="2284">
        <f>ROUND(IPMT(($AA$3%+0.35%)/11,1,$D$219-$D$208+1,$P$220-(SUM($P$4:P193)))*-1,2)</f>
        <v>2871.03</v>
      </c>
      <c r="U194" s="2284"/>
      <c r="V194" s="2284"/>
      <c r="W194" s="2284"/>
      <c r="X194" s="774"/>
      <c r="Y194" s="773"/>
      <c r="Z194" s="772"/>
      <c r="AA194" s="774"/>
    </row>
    <row r="195" spans="1:27">
      <c r="A195" s="2280">
        <v>48</v>
      </c>
      <c r="B195" s="2483"/>
      <c r="C195" s="2483"/>
      <c r="D195" s="2487">
        <v>2028</v>
      </c>
      <c r="E195" s="2487"/>
      <c r="F195" s="2487"/>
      <c r="G195" s="2487"/>
      <c r="H195" s="2502" t="s">
        <v>306</v>
      </c>
      <c r="I195" s="2502"/>
      <c r="J195" s="2502"/>
      <c r="K195" s="2502"/>
      <c r="L195" s="2502"/>
      <c r="M195" s="2502"/>
      <c r="N195" s="2502"/>
      <c r="O195" s="2502"/>
      <c r="P195" s="2488">
        <v>24482</v>
      </c>
      <c r="Q195" s="2489"/>
      <c r="R195" s="2489"/>
      <c r="S195" s="2489"/>
      <c r="T195" s="2279">
        <f>ROUND(IPMT(($AA$3%+0.35%)/11,1,$D$219-$D$208+1,$P$220-(SUM($P$4:P194)))*-1,2)</f>
        <v>2727.48</v>
      </c>
      <c r="U195" s="2279"/>
      <c r="V195" s="2279"/>
      <c r="W195" s="2279"/>
      <c r="X195" s="774"/>
      <c r="Y195" s="2494">
        <f>SUM(T184:W195)</f>
        <v>42204.250000000007</v>
      </c>
      <c r="Z195" s="2495"/>
      <c r="AA195" s="774"/>
    </row>
    <row r="196" spans="1:27">
      <c r="A196" s="2280">
        <v>37</v>
      </c>
      <c r="B196" s="2483"/>
      <c r="C196" s="2483"/>
      <c r="D196" s="2487">
        <v>2029</v>
      </c>
      <c r="E196" s="2487"/>
      <c r="F196" s="2487"/>
      <c r="G196" s="2487"/>
      <c r="H196" s="2487" t="s">
        <v>295</v>
      </c>
      <c r="I196" s="2487"/>
      <c r="J196" s="2487"/>
      <c r="K196" s="2487"/>
      <c r="L196" s="2487"/>
      <c r="M196" s="2487"/>
      <c r="N196" s="2487"/>
      <c r="O196" s="2487"/>
      <c r="P196" s="2488">
        <v>24482</v>
      </c>
      <c r="Q196" s="2489"/>
      <c r="R196" s="2489"/>
      <c r="S196" s="2489"/>
      <c r="T196" s="2284">
        <f>ROUND(IPMT(($AA$3%+0.35%)/11,1,$D$219-$D$88+1,$P$220-(SUM($P$4:P195)))*-1,2)</f>
        <v>2583.92</v>
      </c>
      <c r="U196" s="2284"/>
      <c r="V196" s="2284"/>
      <c r="W196" s="2284"/>
      <c r="X196" s="774"/>
      <c r="Y196" s="773"/>
      <c r="Z196" s="772"/>
      <c r="AA196" s="774"/>
    </row>
    <row r="197" spans="1:27">
      <c r="A197" s="2496">
        <v>38</v>
      </c>
      <c r="B197" s="2497"/>
      <c r="C197" s="2497"/>
      <c r="D197" s="2498">
        <v>2029</v>
      </c>
      <c r="E197" s="2498"/>
      <c r="F197" s="2498"/>
      <c r="G197" s="2498"/>
      <c r="H197" s="2498" t="s">
        <v>296</v>
      </c>
      <c r="I197" s="2498"/>
      <c r="J197" s="2498"/>
      <c r="K197" s="2498"/>
      <c r="L197" s="2498"/>
      <c r="M197" s="2498"/>
      <c r="N197" s="2498"/>
      <c r="O197" s="2498"/>
      <c r="P197" s="2488">
        <v>24482</v>
      </c>
      <c r="Q197" s="2489"/>
      <c r="R197" s="2489"/>
      <c r="S197" s="2489"/>
      <c r="T197" s="2501">
        <f>ROUND(IPMT(($AA$3%+0.35%)/11,1,$D$219-$D$208+1,$P$220-(SUM($P$4:P196)))*-1,2)</f>
        <v>2440.37</v>
      </c>
      <c r="U197" s="2501"/>
      <c r="V197" s="2501"/>
      <c r="W197" s="2501"/>
      <c r="X197" s="774"/>
      <c r="Y197" s="773"/>
      <c r="Z197" s="772"/>
      <c r="AA197" s="774"/>
    </row>
    <row r="198" spans="1:27">
      <c r="A198" s="2280">
        <v>39</v>
      </c>
      <c r="B198" s="2483"/>
      <c r="C198" s="2483"/>
      <c r="D198" s="2487">
        <v>2029</v>
      </c>
      <c r="E198" s="2487"/>
      <c r="F198" s="2487"/>
      <c r="G198" s="2487"/>
      <c r="H198" s="2487" t="s">
        <v>297</v>
      </c>
      <c r="I198" s="2487"/>
      <c r="J198" s="2487"/>
      <c r="K198" s="2487"/>
      <c r="L198" s="2487"/>
      <c r="M198" s="2487"/>
      <c r="N198" s="2487"/>
      <c r="O198" s="2487"/>
      <c r="P198" s="2488">
        <v>24482</v>
      </c>
      <c r="Q198" s="2489"/>
      <c r="R198" s="2489"/>
      <c r="S198" s="2489"/>
      <c r="T198" s="2284">
        <f>ROUND(IPMT(($AA$3%+0.35%)/11,1,$D$219-$D$208+1,$P$220-(SUM($P$4:P197)))*-1,2)</f>
        <v>2296.8200000000002</v>
      </c>
      <c r="U198" s="2284"/>
      <c r="V198" s="2284"/>
      <c r="W198" s="2284"/>
      <c r="X198" s="774"/>
      <c r="Y198" s="773"/>
      <c r="Z198" s="772"/>
      <c r="AA198" s="774"/>
    </row>
    <row r="199" spans="1:27">
      <c r="A199" s="2280">
        <v>40</v>
      </c>
      <c r="B199" s="2483"/>
      <c r="C199" s="2483"/>
      <c r="D199" s="2487">
        <v>2029</v>
      </c>
      <c r="E199" s="2487"/>
      <c r="F199" s="2487"/>
      <c r="G199" s="2487"/>
      <c r="H199" s="2487" t="s">
        <v>298</v>
      </c>
      <c r="I199" s="2487"/>
      <c r="J199" s="2487"/>
      <c r="K199" s="2487"/>
      <c r="L199" s="2487"/>
      <c r="M199" s="2487"/>
      <c r="N199" s="2487"/>
      <c r="O199" s="2487"/>
      <c r="P199" s="2488">
        <v>24482</v>
      </c>
      <c r="Q199" s="2489"/>
      <c r="R199" s="2489"/>
      <c r="S199" s="2489"/>
      <c r="T199" s="2284">
        <f>ROUND(IPMT(($AA$3%+0.35%)/11,1,$D$219-$D$208+1,$P$220-(SUM($P$4:P198)))*-1,2)</f>
        <v>2153.2600000000002</v>
      </c>
      <c r="U199" s="2284"/>
      <c r="V199" s="2284"/>
      <c r="W199" s="2284"/>
      <c r="X199" s="774"/>
      <c r="Y199" s="773"/>
      <c r="Z199" s="772"/>
      <c r="AA199" s="774"/>
    </row>
    <row r="200" spans="1:27">
      <c r="A200" s="2280">
        <v>41</v>
      </c>
      <c r="B200" s="2483"/>
      <c r="C200" s="2483"/>
      <c r="D200" s="2487">
        <v>2029</v>
      </c>
      <c r="E200" s="2487"/>
      <c r="F200" s="2487"/>
      <c r="G200" s="2487"/>
      <c r="H200" s="2487" t="s">
        <v>299</v>
      </c>
      <c r="I200" s="2487"/>
      <c r="J200" s="2487"/>
      <c r="K200" s="2487"/>
      <c r="L200" s="2487"/>
      <c r="M200" s="2487"/>
      <c r="N200" s="2487"/>
      <c r="O200" s="2487"/>
      <c r="P200" s="2488">
        <v>24482</v>
      </c>
      <c r="Q200" s="2489"/>
      <c r="R200" s="2489"/>
      <c r="S200" s="2489"/>
      <c r="T200" s="2284">
        <f>ROUND(IPMT(($AA$3%+0.35%)/11,1,$D$219-$D$208+1,$P$220-(SUM($P$4:P199)))*-1,2)</f>
        <v>2009.71</v>
      </c>
      <c r="U200" s="2284"/>
      <c r="V200" s="2284"/>
      <c r="W200" s="2284"/>
      <c r="X200" s="774"/>
      <c r="Y200" s="773"/>
      <c r="Z200" s="772"/>
      <c r="AA200" s="774"/>
    </row>
    <row r="201" spans="1:27">
      <c r="A201" s="2280">
        <v>42</v>
      </c>
      <c r="B201" s="2483"/>
      <c r="C201" s="2483"/>
      <c r="D201" s="2487">
        <v>2029</v>
      </c>
      <c r="E201" s="2487"/>
      <c r="F201" s="2487"/>
      <c r="G201" s="2487"/>
      <c r="H201" s="2487" t="s">
        <v>300</v>
      </c>
      <c r="I201" s="2487"/>
      <c r="J201" s="2487"/>
      <c r="K201" s="2487"/>
      <c r="L201" s="2487"/>
      <c r="M201" s="2487"/>
      <c r="N201" s="2487"/>
      <c r="O201" s="2487"/>
      <c r="P201" s="2488">
        <v>24482</v>
      </c>
      <c r="Q201" s="2489"/>
      <c r="R201" s="2489"/>
      <c r="S201" s="2489"/>
      <c r="T201" s="2284">
        <f>ROUND(IPMT(($AA$3%+0.35%)/11,1,$D$219-$D$208+1,$P$220-(SUM($P$4:P200)))*-1,2)</f>
        <v>1866.16</v>
      </c>
      <c r="U201" s="2284"/>
      <c r="V201" s="2284"/>
      <c r="W201" s="2284"/>
      <c r="X201" s="774"/>
      <c r="Y201" s="773"/>
      <c r="Z201" s="772"/>
      <c r="AA201" s="774"/>
    </row>
    <row r="202" spans="1:27">
      <c r="A202" s="2280">
        <v>43</v>
      </c>
      <c r="B202" s="2483"/>
      <c r="C202" s="2483"/>
      <c r="D202" s="2487">
        <v>2029</v>
      </c>
      <c r="E202" s="2487"/>
      <c r="F202" s="2487"/>
      <c r="G202" s="2487"/>
      <c r="H202" s="2487" t="s">
        <v>301</v>
      </c>
      <c r="I202" s="2487"/>
      <c r="J202" s="2487"/>
      <c r="K202" s="2487"/>
      <c r="L202" s="2487"/>
      <c r="M202" s="2487"/>
      <c r="N202" s="2487"/>
      <c r="O202" s="2487"/>
      <c r="P202" s="2488">
        <v>24482</v>
      </c>
      <c r="Q202" s="2489"/>
      <c r="R202" s="2489"/>
      <c r="S202" s="2489"/>
      <c r="T202" s="2284">
        <f>ROUND(IPMT(($AA$3%+0.35%)/11,1,$D$219-$D$208+1,$P$220-(SUM($P$4:P201)))*-1,2)</f>
        <v>1722.6</v>
      </c>
      <c r="U202" s="2284"/>
      <c r="V202" s="2284"/>
      <c r="W202" s="2284"/>
      <c r="X202" s="774"/>
      <c r="Y202" s="773"/>
      <c r="Z202" s="772"/>
      <c r="AA202" s="774"/>
    </row>
    <row r="203" spans="1:27">
      <c r="A203" s="2280">
        <v>44</v>
      </c>
      <c r="B203" s="2483"/>
      <c r="C203" s="2483"/>
      <c r="D203" s="2487">
        <v>2029</v>
      </c>
      <c r="E203" s="2487"/>
      <c r="F203" s="2487"/>
      <c r="G203" s="2487"/>
      <c r="H203" s="2487" t="s">
        <v>302</v>
      </c>
      <c r="I203" s="2487"/>
      <c r="J203" s="2487"/>
      <c r="K203" s="2487"/>
      <c r="L203" s="2487"/>
      <c r="M203" s="2487"/>
      <c r="N203" s="2487"/>
      <c r="O203" s="2487"/>
      <c r="P203" s="2488">
        <v>24482</v>
      </c>
      <c r="Q203" s="2489"/>
      <c r="R203" s="2489"/>
      <c r="S203" s="2489"/>
      <c r="T203" s="2284">
        <f>ROUND(IPMT(($AA$3%+0.35%)/11,1,$D$219-$D$208+1,$P$220-(SUM($P$4:P202)))*-1,2)</f>
        <v>1579.05</v>
      </c>
      <c r="U203" s="2284"/>
      <c r="V203" s="2284"/>
      <c r="W203" s="2284"/>
      <c r="X203" s="774"/>
      <c r="Y203" s="773"/>
      <c r="Z203" s="772"/>
      <c r="AA203" s="774"/>
    </row>
    <row r="204" spans="1:27">
      <c r="A204" s="2280">
        <v>45</v>
      </c>
      <c r="B204" s="2483"/>
      <c r="C204" s="2483"/>
      <c r="D204" s="2487">
        <v>2029</v>
      </c>
      <c r="E204" s="2487"/>
      <c r="F204" s="2487"/>
      <c r="G204" s="2487"/>
      <c r="H204" s="2487" t="s">
        <v>303</v>
      </c>
      <c r="I204" s="2487"/>
      <c r="J204" s="2487"/>
      <c r="K204" s="2487"/>
      <c r="L204" s="2487"/>
      <c r="M204" s="2487"/>
      <c r="N204" s="2487"/>
      <c r="O204" s="2487"/>
      <c r="P204" s="2488">
        <v>24482</v>
      </c>
      <c r="Q204" s="2489"/>
      <c r="R204" s="2489"/>
      <c r="S204" s="2489"/>
      <c r="T204" s="2284">
        <f>ROUND(IPMT(($AA$3%+0.35%)/11,1,$D$219-$D$208+1,$P$220-(SUM($P$4:P203)))*-1,2)</f>
        <v>1435.49</v>
      </c>
      <c r="U204" s="2284"/>
      <c r="V204" s="2284"/>
      <c r="W204" s="2284"/>
      <c r="X204" s="774"/>
      <c r="Y204" s="773"/>
      <c r="Z204" s="772"/>
      <c r="AA204" s="774"/>
    </row>
    <row r="205" spans="1:27">
      <c r="A205" s="2280">
        <v>46</v>
      </c>
      <c r="B205" s="2483"/>
      <c r="C205" s="2483"/>
      <c r="D205" s="2487">
        <v>2029</v>
      </c>
      <c r="E205" s="2487"/>
      <c r="F205" s="2487"/>
      <c r="G205" s="2487"/>
      <c r="H205" s="2487" t="s">
        <v>304</v>
      </c>
      <c r="I205" s="2487"/>
      <c r="J205" s="2487"/>
      <c r="K205" s="2487"/>
      <c r="L205" s="2487"/>
      <c r="M205" s="2487"/>
      <c r="N205" s="2487"/>
      <c r="O205" s="2487"/>
      <c r="P205" s="2488">
        <v>24482</v>
      </c>
      <c r="Q205" s="2489"/>
      <c r="R205" s="2489"/>
      <c r="S205" s="2489"/>
      <c r="T205" s="2284">
        <f>ROUND(IPMT(($AA$3%+0.35%)/11,1,$D$219-$D$208+1,$P$220-(SUM($P$4:P204)))*-1,2)</f>
        <v>1291.94</v>
      </c>
      <c r="U205" s="2284"/>
      <c r="V205" s="2284"/>
      <c r="W205" s="2284"/>
      <c r="X205" s="774"/>
      <c r="Y205" s="773"/>
      <c r="Z205" s="772"/>
      <c r="AA205" s="774"/>
    </row>
    <row r="206" spans="1:27">
      <c r="A206" s="2280">
        <v>47</v>
      </c>
      <c r="B206" s="2483"/>
      <c r="C206" s="2483"/>
      <c r="D206" s="2487">
        <v>2029</v>
      </c>
      <c r="E206" s="2487"/>
      <c r="F206" s="2487"/>
      <c r="G206" s="2487"/>
      <c r="H206" s="2487" t="s">
        <v>305</v>
      </c>
      <c r="I206" s="2487"/>
      <c r="J206" s="2487"/>
      <c r="K206" s="2487"/>
      <c r="L206" s="2487"/>
      <c r="M206" s="2487"/>
      <c r="N206" s="2487"/>
      <c r="O206" s="2487"/>
      <c r="P206" s="2488">
        <v>24482</v>
      </c>
      <c r="Q206" s="2489"/>
      <c r="R206" s="2489"/>
      <c r="S206" s="2489"/>
      <c r="T206" s="2284">
        <f>ROUND(IPMT(($AA$3%+0.35%)/11,1,$D$219-$D$208+1,$P$220-(SUM($P$4:P205)))*-1,2)</f>
        <v>1148.3900000000001</v>
      </c>
      <c r="U206" s="2284"/>
      <c r="V206" s="2284"/>
      <c r="W206" s="2284"/>
      <c r="X206" s="774"/>
      <c r="Y206" s="773"/>
      <c r="Z206" s="772"/>
      <c r="AA206" s="774"/>
    </row>
    <row r="207" spans="1:27">
      <c r="A207" s="2280">
        <v>48</v>
      </c>
      <c r="B207" s="2483"/>
      <c r="C207" s="2483"/>
      <c r="D207" s="2487">
        <v>2029</v>
      </c>
      <c r="E207" s="2487"/>
      <c r="F207" s="2487"/>
      <c r="G207" s="2487"/>
      <c r="H207" s="2502" t="s">
        <v>306</v>
      </c>
      <c r="I207" s="2502"/>
      <c r="J207" s="2502"/>
      <c r="K207" s="2502"/>
      <c r="L207" s="2502"/>
      <c r="M207" s="2502"/>
      <c r="N207" s="2502"/>
      <c r="O207" s="2502"/>
      <c r="P207" s="2488">
        <v>24482</v>
      </c>
      <c r="Q207" s="2489"/>
      <c r="R207" s="2489"/>
      <c r="S207" s="2489"/>
      <c r="T207" s="2279">
        <f>ROUND(IPMT(($AA$3%+0.35%)/11,1,$D$219-$D$208+1,$P$220-(SUM($P$4:P206)))*-1,2)</f>
        <v>1004.83</v>
      </c>
      <c r="U207" s="2279"/>
      <c r="V207" s="2279"/>
      <c r="W207" s="2279"/>
      <c r="X207" s="774"/>
      <c r="Y207" s="2494">
        <f>SUM(T196:W207)</f>
        <v>21532.540000000005</v>
      </c>
      <c r="Z207" s="2495"/>
      <c r="AA207" s="774"/>
    </row>
    <row r="208" spans="1:27">
      <c r="A208" s="2496">
        <v>37</v>
      </c>
      <c r="B208" s="2497"/>
      <c r="C208" s="2497"/>
      <c r="D208" s="2498">
        <v>2030</v>
      </c>
      <c r="E208" s="2498"/>
      <c r="F208" s="2498"/>
      <c r="G208" s="2498"/>
      <c r="H208" s="2498" t="s">
        <v>295</v>
      </c>
      <c r="I208" s="2498"/>
      <c r="J208" s="2498"/>
      <c r="K208" s="2498"/>
      <c r="L208" s="2498"/>
      <c r="M208" s="2498"/>
      <c r="N208" s="2498"/>
      <c r="O208" s="2498"/>
      <c r="P208" s="2488">
        <v>24482</v>
      </c>
      <c r="Q208" s="2489"/>
      <c r="R208" s="2489"/>
      <c r="S208" s="2489"/>
      <c r="T208" s="2501">
        <f>ROUND(IPMT(($AA$3%+0.35%)/11,1,$D$219-$D$88+1,$P$220-(SUM($P$4:P207)))*-1,2)</f>
        <v>861.28</v>
      </c>
      <c r="U208" s="2501"/>
      <c r="V208" s="2501"/>
      <c r="W208" s="2501"/>
      <c r="X208" s="774"/>
      <c r="Y208" s="774"/>
      <c r="Z208" s="774"/>
      <c r="AA208" s="774"/>
    </row>
    <row r="209" spans="1:27">
      <c r="A209" s="2280">
        <v>38</v>
      </c>
      <c r="B209" s="2483"/>
      <c r="C209" s="2483"/>
      <c r="D209" s="2487">
        <f>$D$208</f>
        <v>2030</v>
      </c>
      <c r="E209" s="2487"/>
      <c r="F209" s="2487"/>
      <c r="G209" s="2487"/>
      <c r="H209" s="2487" t="s">
        <v>296</v>
      </c>
      <c r="I209" s="2487"/>
      <c r="J209" s="2487"/>
      <c r="K209" s="2487"/>
      <c r="L209" s="2487"/>
      <c r="M209" s="2487"/>
      <c r="N209" s="2487"/>
      <c r="O209" s="2487"/>
      <c r="P209" s="2488">
        <v>24482</v>
      </c>
      <c r="Q209" s="2489"/>
      <c r="R209" s="2489"/>
      <c r="S209" s="2489"/>
      <c r="T209" s="2284">
        <f>ROUND(IPMT(($AA$3%+0.35%)/11,1,$D$219-$D$208+1,$P$220-(SUM($P$4:P208)))*-1,2)</f>
        <v>717.73</v>
      </c>
      <c r="U209" s="2284"/>
      <c r="V209" s="2284"/>
      <c r="W209" s="2284"/>
      <c r="X209" s="774"/>
      <c r="Y209" s="774"/>
      <c r="Z209" s="774"/>
      <c r="AA209" s="774"/>
    </row>
    <row r="210" spans="1:27">
      <c r="A210" s="2280">
        <v>39</v>
      </c>
      <c r="B210" s="2483"/>
      <c r="C210" s="2483"/>
      <c r="D210" s="2487">
        <f t="shared" ref="D210:D219" si="11">$D$208</f>
        <v>2030</v>
      </c>
      <c r="E210" s="2487"/>
      <c r="F210" s="2487"/>
      <c r="G210" s="2487"/>
      <c r="H210" s="2487" t="s">
        <v>297</v>
      </c>
      <c r="I210" s="2487"/>
      <c r="J210" s="2487"/>
      <c r="K210" s="2487"/>
      <c r="L210" s="2487"/>
      <c r="M210" s="2487"/>
      <c r="N210" s="2487"/>
      <c r="O210" s="2487"/>
      <c r="P210" s="2488">
        <v>24482</v>
      </c>
      <c r="Q210" s="2489"/>
      <c r="R210" s="2489"/>
      <c r="S210" s="2489"/>
      <c r="T210" s="2284">
        <f>ROUND(IPMT(($AA$3%+0.35%)/11,1,$D$219-$D$208+1,$P$220-(SUM($P$4:P209)))*-1,2)</f>
        <v>574.16999999999996</v>
      </c>
      <c r="U210" s="2284"/>
      <c r="V210" s="2284"/>
      <c r="W210" s="2284"/>
      <c r="X210" s="774"/>
      <c r="Y210" s="774"/>
      <c r="Z210" s="774"/>
      <c r="AA210" s="774"/>
    </row>
    <row r="211" spans="1:27">
      <c r="A211" s="2280">
        <v>40</v>
      </c>
      <c r="B211" s="2483"/>
      <c r="C211" s="2483"/>
      <c r="D211" s="2487">
        <f t="shared" si="11"/>
        <v>2030</v>
      </c>
      <c r="E211" s="2487"/>
      <c r="F211" s="2487"/>
      <c r="G211" s="2487"/>
      <c r="H211" s="2487" t="s">
        <v>298</v>
      </c>
      <c r="I211" s="2487"/>
      <c r="J211" s="2487"/>
      <c r="K211" s="2487"/>
      <c r="L211" s="2487"/>
      <c r="M211" s="2487"/>
      <c r="N211" s="2487"/>
      <c r="O211" s="2487"/>
      <c r="P211" s="2488">
        <v>24482</v>
      </c>
      <c r="Q211" s="2489"/>
      <c r="R211" s="2489"/>
      <c r="S211" s="2489"/>
      <c r="T211" s="2284">
        <f>ROUND(IPMT(($AA$3%+0.35%)/11,1,$D$219-$D$208+1,$P$220-(SUM($P$4:P210)))*-1,2)</f>
        <v>430.62</v>
      </c>
      <c r="U211" s="2284"/>
      <c r="V211" s="2284"/>
      <c r="W211" s="2284"/>
      <c r="X211" s="774"/>
      <c r="Y211" s="774"/>
      <c r="Z211" s="774"/>
      <c r="AA211" s="774"/>
    </row>
    <row r="212" spans="1:27">
      <c r="A212" s="2280">
        <v>41</v>
      </c>
      <c r="B212" s="2483"/>
      <c r="C212" s="2483"/>
      <c r="D212" s="2487">
        <f t="shared" si="11"/>
        <v>2030</v>
      </c>
      <c r="E212" s="2487"/>
      <c r="F212" s="2487"/>
      <c r="G212" s="2487"/>
      <c r="H212" s="2487" t="s">
        <v>299</v>
      </c>
      <c r="I212" s="2487"/>
      <c r="J212" s="2487"/>
      <c r="K212" s="2487"/>
      <c r="L212" s="2487"/>
      <c r="M212" s="2487"/>
      <c r="N212" s="2487"/>
      <c r="O212" s="2487"/>
      <c r="P212" s="2488">
        <v>24482</v>
      </c>
      <c r="Q212" s="2489"/>
      <c r="R212" s="2489"/>
      <c r="S212" s="2489"/>
      <c r="T212" s="2284">
        <f>ROUND(IPMT(($AA$3%+0.35%)/11,1,$D$219-$D$208+1,$P$220-(SUM($P$4:P211)))*-1,2)</f>
        <v>287.07</v>
      </c>
      <c r="U212" s="2284"/>
      <c r="V212" s="2284"/>
      <c r="W212" s="2284"/>
      <c r="X212" s="774"/>
      <c r="Y212" s="774"/>
      <c r="Z212" s="774"/>
      <c r="AA212" s="774"/>
    </row>
    <row r="213" spans="1:27">
      <c r="A213" s="2280">
        <v>42</v>
      </c>
      <c r="B213" s="2483"/>
      <c r="C213" s="2483"/>
      <c r="D213" s="2487">
        <f t="shared" si="11"/>
        <v>2030</v>
      </c>
      <c r="E213" s="2487"/>
      <c r="F213" s="2487"/>
      <c r="G213" s="2487"/>
      <c r="H213" s="2487" t="s">
        <v>300</v>
      </c>
      <c r="I213" s="2487"/>
      <c r="J213" s="2487"/>
      <c r="K213" s="2487"/>
      <c r="L213" s="2487"/>
      <c r="M213" s="2487"/>
      <c r="N213" s="2487"/>
      <c r="O213" s="2487"/>
      <c r="P213" s="2488">
        <v>24475</v>
      </c>
      <c r="Q213" s="2489"/>
      <c r="R213" s="2489"/>
      <c r="S213" s="2489"/>
      <c r="T213" s="2284">
        <f>ROUND(IPMT(($AA$3%+0.35%)/11,1,$D$219-$D$208+1,$P$220-(SUM($P$4:P212)))*-1,2)</f>
        <v>143.51</v>
      </c>
      <c r="U213" s="2284"/>
      <c r="V213" s="2284"/>
      <c r="W213" s="2284"/>
      <c r="X213" s="774"/>
      <c r="Y213" s="774"/>
      <c r="Z213" s="774"/>
      <c r="AA213" s="774"/>
    </row>
    <row r="214" spans="1:27">
      <c r="A214" s="2280">
        <v>43</v>
      </c>
      <c r="B214" s="2483"/>
      <c r="C214" s="2483"/>
      <c r="D214" s="2487">
        <f t="shared" si="11"/>
        <v>2030</v>
      </c>
      <c r="E214" s="2487"/>
      <c r="F214" s="2487"/>
      <c r="G214" s="2487"/>
      <c r="H214" s="2487" t="s">
        <v>301</v>
      </c>
      <c r="I214" s="2487"/>
      <c r="J214" s="2487"/>
      <c r="K214" s="2487"/>
      <c r="L214" s="2487"/>
      <c r="M214" s="2487"/>
      <c r="N214" s="2487"/>
      <c r="O214" s="2487"/>
      <c r="P214" s="2488">
        <v>0</v>
      </c>
      <c r="Q214" s="2489"/>
      <c r="R214" s="2489"/>
      <c r="S214" s="2489"/>
      <c r="T214" s="2284">
        <f>ROUND(IPMT(($AA$3%+0.35%)/11,1,$D$219-$D$208+1,$P$220-(SUM($P$4:P213)))*-1,2)</f>
        <v>0</v>
      </c>
      <c r="U214" s="2284"/>
      <c r="V214" s="2284"/>
      <c r="W214" s="2284"/>
      <c r="X214" s="774"/>
      <c r="Y214" s="774"/>
      <c r="Z214" s="774"/>
      <c r="AA214" s="774"/>
    </row>
    <row r="215" spans="1:27">
      <c r="A215" s="2280">
        <v>44</v>
      </c>
      <c r="B215" s="2483"/>
      <c r="C215" s="2483"/>
      <c r="D215" s="2487">
        <f t="shared" si="11"/>
        <v>2030</v>
      </c>
      <c r="E215" s="2487"/>
      <c r="F215" s="2487"/>
      <c r="G215" s="2487"/>
      <c r="H215" s="2487" t="s">
        <v>302</v>
      </c>
      <c r="I215" s="2487"/>
      <c r="J215" s="2487"/>
      <c r="K215" s="2487"/>
      <c r="L215" s="2487"/>
      <c r="M215" s="2487"/>
      <c r="N215" s="2487"/>
      <c r="O215" s="2487"/>
      <c r="P215" s="2488">
        <v>0</v>
      </c>
      <c r="Q215" s="2489"/>
      <c r="R215" s="2489"/>
      <c r="S215" s="2489"/>
      <c r="T215" s="2284">
        <f>ROUND(IPMT(($AA$3%+0.35%)/11,1,$D$219-$D$208+1,$P$220-(SUM($P$4:P214)))*-1,2)</f>
        <v>0</v>
      </c>
      <c r="U215" s="2284"/>
      <c r="V215" s="2284"/>
      <c r="W215" s="2284"/>
      <c r="X215" s="774"/>
      <c r="Y215" s="774"/>
      <c r="Z215" s="774"/>
      <c r="AA215" s="774"/>
    </row>
    <row r="216" spans="1:27">
      <c r="A216" s="2280">
        <v>45</v>
      </c>
      <c r="B216" s="2483"/>
      <c r="C216" s="2483"/>
      <c r="D216" s="2487">
        <f t="shared" si="11"/>
        <v>2030</v>
      </c>
      <c r="E216" s="2487"/>
      <c r="F216" s="2487"/>
      <c r="G216" s="2487"/>
      <c r="H216" s="2487" t="s">
        <v>303</v>
      </c>
      <c r="I216" s="2487"/>
      <c r="J216" s="2487"/>
      <c r="K216" s="2487"/>
      <c r="L216" s="2487"/>
      <c r="M216" s="2487"/>
      <c r="N216" s="2487"/>
      <c r="O216" s="2487"/>
      <c r="P216" s="2488">
        <v>0</v>
      </c>
      <c r="Q216" s="2489"/>
      <c r="R216" s="2489"/>
      <c r="S216" s="2489"/>
      <c r="T216" s="2284">
        <f>ROUND(IPMT(($AA$3%+0.35%)/11,1,$D$219-$D$208+1,$P$220-(SUM($P$4:P215)))*-1,2)</f>
        <v>0</v>
      </c>
      <c r="U216" s="2284"/>
      <c r="V216" s="2284"/>
      <c r="W216" s="2284"/>
      <c r="X216" s="774"/>
      <c r="Y216" s="774"/>
      <c r="Z216" s="774"/>
      <c r="AA216" s="774"/>
    </row>
    <row r="217" spans="1:27">
      <c r="A217" s="2280">
        <v>46</v>
      </c>
      <c r="B217" s="2483"/>
      <c r="C217" s="2483"/>
      <c r="D217" s="2487">
        <f t="shared" si="11"/>
        <v>2030</v>
      </c>
      <c r="E217" s="2487"/>
      <c r="F217" s="2487"/>
      <c r="G217" s="2487"/>
      <c r="H217" s="2487" t="s">
        <v>304</v>
      </c>
      <c r="I217" s="2487"/>
      <c r="J217" s="2487"/>
      <c r="K217" s="2487"/>
      <c r="L217" s="2487"/>
      <c r="M217" s="2487"/>
      <c r="N217" s="2487"/>
      <c r="O217" s="2487"/>
      <c r="P217" s="2488">
        <v>0</v>
      </c>
      <c r="Q217" s="2489"/>
      <c r="R217" s="2489"/>
      <c r="S217" s="2489"/>
      <c r="T217" s="2284">
        <f>ROUND(IPMT(($AA$3%+0.35%)/11,1,$D$219-$D$208+1,$P$220-(SUM($P$4:P216)))*-1,2)</f>
        <v>0</v>
      </c>
      <c r="U217" s="2284"/>
      <c r="V217" s="2284"/>
      <c r="W217" s="2284"/>
      <c r="X217" s="774"/>
      <c r="Y217" s="774"/>
      <c r="Z217" s="774"/>
      <c r="AA217" s="774"/>
    </row>
    <row r="218" spans="1:27">
      <c r="A218" s="2280">
        <v>47</v>
      </c>
      <c r="B218" s="2483"/>
      <c r="C218" s="2483"/>
      <c r="D218" s="2487">
        <f t="shared" si="11"/>
        <v>2030</v>
      </c>
      <c r="E218" s="2487"/>
      <c r="F218" s="2487"/>
      <c r="G218" s="2487"/>
      <c r="H218" s="2487" t="s">
        <v>305</v>
      </c>
      <c r="I218" s="2487"/>
      <c r="J218" s="2487"/>
      <c r="K218" s="2487"/>
      <c r="L218" s="2487"/>
      <c r="M218" s="2487"/>
      <c r="N218" s="2487"/>
      <c r="O218" s="2487"/>
      <c r="P218" s="2488">
        <v>0</v>
      </c>
      <c r="Q218" s="2489"/>
      <c r="R218" s="2489"/>
      <c r="S218" s="2489"/>
      <c r="T218" s="2284">
        <f>ROUND(IPMT(($AA$3%+0.35%)/11,1,$D$219-$D$208+1,$P$220-(SUM($P$4:P217)))*-1,2)</f>
        <v>0</v>
      </c>
      <c r="U218" s="2284"/>
      <c r="V218" s="2284"/>
      <c r="W218" s="2284"/>
      <c r="X218" s="774"/>
      <c r="Y218" s="774"/>
      <c r="Z218" s="774"/>
      <c r="AA218" s="774"/>
    </row>
    <row r="219" spans="1:27">
      <c r="A219" s="2280">
        <v>48</v>
      </c>
      <c r="B219" s="2483"/>
      <c r="C219" s="2483"/>
      <c r="D219" s="2502">
        <f t="shared" si="11"/>
        <v>2030</v>
      </c>
      <c r="E219" s="2502"/>
      <c r="F219" s="2502"/>
      <c r="G219" s="2502"/>
      <c r="H219" s="2502" t="s">
        <v>306</v>
      </c>
      <c r="I219" s="2502"/>
      <c r="J219" s="2502"/>
      <c r="K219" s="2502"/>
      <c r="L219" s="2502"/>
      <c r="M219" s="2502"/>
      <c r="N219" s="2502"/>
      <c r="O219" s="2502"/>
      <c r="P219" s="2512">
        <v>0</v>
      </c>
      <c r="Q219" s="2513"/>
      <c r="R219" s="2513"/>
      <c r="S219" s="2513"/>
      <c r="T219" s="2279">
        <f>ROUND(IPMT(($AA$3%+0.35%)/11,1,$D$219-$D$208+1,$P$220-(SUM($P$4:P218)))*-1,2)</f>
        <v>0</v>
      </c>
      <c r="U219" s="2279"/>
      <c r="V219" s="2279"/>
      <c r="W219" s="2279"/>
      <c r="X219" s="774"/>
      <c r="Y219" s="774"/>
      <c r="Z219" s="2494">
        <f>SUM(T208:W219)</f>
        <v>3014.38</v>
      </c>
      <c r="AA219" s="2495"/>
    </row>
    <row r="220" spans="1:27" ht="14.25">
      <c r="A220" s="2504" t="s">
        <v>307</v>
      </c>
      <c r="B220" s="2505"/>
      <c r="C220" s="2505"/>
      <c r="D220" s="2505"/>
      <c r="E220" s="2505"/>
      <c r="F220" s="2505"/>
      <c r="G220" s="2505"/>
      <c r="H220" s="2505"/>
      <c r="I220" s="2505"/>
      <c r="J220" s="2505"/>
      <c r="K220" s="2505"/>
      <c r="L220" s="2505"/>
      <c r="M220" s="2505"/>
      <c r="N220" s="2505"/>
      <c r="O220" s="2506"/>
      <c r="P220" s="2507">
        <f>SUM(P4:P219)</f>
        <v>4406753</v>
      </c>
      <c r="Q220" s="2508"/>
      <c r="R220" s="2508"/>
      <c r="S220" s="2509"/>
      <c r="T220" s="2291">
        <f>SUM(T4:T219)</f>
        <v>3113954.9771363609</v>
      </c>
      <c r="U220" s="2510"/>
      <c r="V220" s="2508"/>
      <c r="W220" s="2509"/>
      <c r="X220" s="774"/>
      <c r="Y220" s="774"/>
      <c r="Z220" s="774"/>
      <c r="AA220" s="774"/>
    </row>
    <row r="221" spans="1:27">
      <c r="A221" s="2511"/>
      <c r="B221" s="2511"/>
      <c r="C221" s="2511"/>
      <c r="D221" s="2511"/>
      <c r="E221" s="2511"/>
      <c r="F221" s="2511"/>
      <c r="G221" s="2511"/>
      <c r="H221" s="2511"/>
      <c r="I221" s="2511"/>
      <c r="J221" s="2511"/>
      <c r="K221" s="2511"/>
      <c r="L221" s="2511"/>
      <c r="M221" s="2511"/>
      <c r="N221" s="2511"/>
      <c r="O221" s="2511"/>
      <c r="P221" s="2511"/>
      <c r="Q221" s="2511"/>
      <c r="R221" s="2511"/>
      <c r="S221" s="2511"/>
      <c r="T221" s="2511"/>
      <c r="U221" s="2511"/>
      <c r="V221" s="2511"/>
      <c r="W221" s="2511"/>
      <c r="X221" s="774"/>
      <c r="Y221" s="775"/>
      <c r="Z221" s="775"/>
      <c r="AA221" s="775"/>
    </row>
  </sheetData>
  <sheetProtection sheet="1" objects="1" scenarios="1"/>
  <mergeCells count="1109"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7"/>
  <sheetViews>
    <sheetView workbookViewId="0">
      <selection activeCell="B10" sqref="B10:I13"/>
    </sheetView>
  </sheetViews>
  <sheetFormatPr defaultRowHeight="12.75"/>
  <sheetData>
    <row r="2" spans="1:27" ht="15.75">
      <c r="A2" s="651"/>
      <c r="B2" s="650"/>
      <c r="C2" s="650"/>
      <c r="D2" s="650"/>
      <c r="E2" s="650"/>
      <c r="F2" s="649"/>
      <c r="G2" s="649"/>
      <c r="H2" s="649"/>
      <c r="I2" s="649"/>
      <c r="J2" s="649"/>
      <c r="K2" s="649"/>
      <c r="L2" s="659"/>
      <c r="M2" s="648"/>
      <c r="N2" s="648"/>
      <c r="O2" s="648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48"/>
      <c r="AA2" s="648"/>
    </row>
    <row r="3" spans="1:27" ht="21.75">
      <c r="A3" s="2247" t="s">
        <v>136</v>
      </c>
      <c r="B3" s="2247"/>
      <c r="C3" s="2247"/>
      <c r="D3" s="2247"/>
      <c r="E3" s="2247"/>
      <c r="F3" s="2247"/>
      <c r="G3" s="2247"/>
      <c r="H3" s="2247"/>
      <c r="I3" s="2247"/>
      <c r="J3" s="2247"/>
      <c r="K3" s="2247"/>
      <c r="L3" s="2247"/>
      <c r="M3" s="2247"/>
      <c r="N3" s="2247"/>
      <c r="O3" s="2247"/>
      <c r="P3" s="2247"/>
      <c r="Q3" s="2247"/>
      <c r="R3" s="2247"/>
      <c r="S3" s="2247"/>
      <c r="T3" s="2247"/>
      <c r="U3" s="2247"/>
      <c r="V3" s="2247"/>
      <c r="W3" s="2247"/>
      <c r="X3" s="2247"/>
      <c r="Y3" s="2247"/>
      <c r="Z3" s="2247"/>
      <c r="AA3" s="2247"/>
    </row>
    <row r="4" spans="1:27" ht="18">
      <c r="A4" s="2248" t="s">
        <v>137</v>
      </c>
      <c r="B4" s="2248"/>
      <c r="C4" s="2248"/>
      <c r="D4" s="2248"/>
      <c r="E4" s="2248"/>
      <c r="F4" s="2248"/>
      <c r="G4" s="2248"/>
      <c r="H4" s="2248"/>
      <c r="I4" s="2248"/>
      <c r="J4" s="2248"/>
      <c r="K4" s="2248"/>
      <c r="L4" s="2248"/>
      <c r="M4" s="2248"/>
      <c r="N4" s="2248"/>
      <c r="O4" s="2248"/>
      <c r="P4" s="2248"/>
      <c r="Q4" s="2248"/>
      <c r="R4" s="2248"/>
      <c r="S4" s="2248"/>
      <c r="T4" s="2248"/>
      <c r="U4" s="2248"/>
      <c r="V4" s="2248"/>
      <c r="W4" s="2248"/>
      <c r="X4" s="2248"/>
      <c r="Y4" s="2248"/>
      <c r="Z4" s="2248"/>
      <c r="AA4" s="2248"/>
    </row>
    <row r="5" spans="1:27" ht="15.75" thickBot="1">
      <c r="A5" s="647"/>
      <c r="B5" s="646"/>
      <c r="C5" s="646"/>
      <c r="D5" s="646"/>
      <c r="E5" s="646"/>
      <c r="F5" s="645"/>
      <c r="G5" s="645"/>
      <c r="H5" s="645"/>
      <c r="I5" s="645"/>
      <c r="J5" s="645"/>
      <c r="K5" s="645"/>
      <c r="L5" s="660"/>
      <c r="M5" s="645"/>
      <c r="N5" s="645"/>
      <c r="O5" s="645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45"/>
      <c r="AA5" s="644"/>
    </row>
    <row r="6" spans="1:27" ht="13.5" thickTop="1">
      <c r="A6" s="2249" t="s">
        <v>138</v>
      </c>
      <c r="B6" s="2252" t="s">
        <v>101</v>
      </c>
      <c r="C6" s="2253"/>
      <c r="D6" s="2253" t="s">
        <v>102</v>
      </c>
      <c r="E6" s="2253"/>
      <c r="F6" s="2253" t="s">
        <v>103</v>
      </c>
      <c r="G6" s="2253"/>
      <c r="H6" s="2253"/>
      <c r="I6" s="2253"/>
      <c r="J6" s="2256" t="s">
        <v>104</v>
      </c>
      <c r="K6" s="2257"/>
      <c r="L6" s="2051" t="s">
        <v>105</v>
      </c>
      <c r="M6" s="2256" t="s">
        <v>106</v>
      </c>
      <c r="N6" s="2260"/>
      <c r="O6" s="2260"/>
      <c r="P6" s="2261"/>
      <c r="Q6" s="2261"/>
      <c r="R6" s="2261"/>
      <c r="S6" s="2261"/>
      <c r="T6" s="2261"/>
      <c r="U6" s="2261"/>
      <c r="V6" s="2261"/>
      <c r="W6" s="2261"/>
      <c r="X6" s="2261"/>
      <c r="Y6" s="2261"/>
      <c r="Z6" s="2261"/>
      <c r="AA6" s="2262"/>
    </row>
    <row r="7" spans="1:27">
      <c r="A7" s="2250"/>
      <c r="B7" s="2254"/>
      <c r="C7" s="2255"/>
      <c r="D7" s="2255"/>
      <c r="E7" s="2255"/>
      <c r="F7" s="2255"/>
      <c r="G7" s="2255"/>
      <c r="H7" s="2255"/>
      <c r="I7" s="2255"/>
      <c r="J7" s="2258"/>
      <c r="K7" s="2243"/>
      <c r="L7" s="2052"/>
      <c r="M7" s="2263"/>
      <c r="N7" s="2264"/>
      <c r="O7" s="2264"/>
      <c r="P7" s="2264"/>
      <c r="Q7" s="2264"/>
      <c r="R7" s="2264"/>
      <c r="S7" s="2264"/>
      <c r="T7" s="2264"/>
      <c r="U7" s="2264"/>
      <c r="V7" s="2264"/>
      <c r="W7" s="2264"/>
      <c r="X7" s="2264"/>
      <c r="Y7" s="2264"/>
      <c r="Z7" s="2264"/>
      <c r="AA7" s="2265"/>
    </row>
    <row r="8" spans="1:27">
      <c r="A8" s="2250"/>
      <c r="B8" s="2225" t="s">
        <v>107</v>
      </c>
      <c r="C8" s="2226"/>
      <c r="D8" s="2229" t="s">
        <v>108</v>
      </c>
      <c r="E8" s="2226"/>
      <c r="F8" s="2229" t="s">
        <v>109</v>
      </c>
      <c r="G8" s="2231"/>
      <c r="H8" s="2231"/>
      <c r="I8" s="2226"/>
      <c r="J8" s="2258"/>
      <c r="K8" s="2243"/>
      <c r="L8" s="2052"/>
      <c r="M8" s="2266"/>
      <c r="N8" s="2267"/>
      <c r="O8" s="2267"/>
      <c r="P8" s="2267"/>
      <c r="Q8" s="2267"/>
      <c r="R8" s="2267"/>
      <c r="S8" s="2267"/>
      <c r="T8" s="2267"/>
      <c r="U8" s="2267"/>
      <c r="V8" s="2267"/>
      <c r="W8" s="2267"/>
      <c r="X8" s="2267"/>
      <c r="Y8" s="2267"/>
      <c r="Z8" s="2267"/>
      <c r="AA8" s="2268"/>
    </row>
    <row r="9" spans="1:27">
      <c r="A9" s="2250"/>
      <c r="B9" s="2227"/>
      <c r="C9" s="2228"/>
      <c r="D9" s="2230"/>
      <c r="E9" s="2228"/>
      <c r="F9" s="2230"/>
      <c r="G9" s="2232"/>
      <c r="H9" s="2232"/>
      <c r="I9" s="2228"/>
      <c r="J9" s="2258"/>
      <c r="K9" s="2243"/>
      <c r="L9" s="2052"/>
      <c r="M9" s="2233" t="s">
        <v>139</v>
      </c>
      <c r="N9" s="2233" t="s">
        <v>111</v>
      </c>
      <c r="O9" s="2233" t="s">
        <v>112</v>
      </c>
      <c r="P9" s="2200">
        <v>2013</v>
      </c>
      <c r="Q9" s="2200">
        <v>2014</v>
      </c>
      <c r="R9" s="2208">
        <v>2015</v>
      </c>
      <c r="S9" s="2208">
        <v>2016</v>
      </c>
      <c r="T9" s="2208">
        <v>2017</v>
      </c>
      <c r="U9" s="2208">
        <v>2018</v>
      </c>
      <c r="V9" s="2208">
        <v>2019</v>
      </c>
      <c r="W9" s="2208">
        <v>2020</v>
      </c>
      <c r="X9" s="2208">
        <v>2021</v>
      </c>
      <c r="Y9" s="2208">
        <v>2022</v>
      </c>
      <c r="Z9" s="2219" t="s">
        <v>113</v>
      </c>
      <c r="AA9" s="2220"/>
    </row>
    <row r="10" spans="1:27">
      <c r="A10" s="2238"/>
      <c r="B10" s="2238" t="s">
        <v>114</v>
      </c>
      <c r="C10" s="2239"/>
      <c r="D10" s="2239"/>
      <c r="E10" s="2239"/>
      <c r="F10" s="2239"/>
      <c r="G10" s="2239"/>
      <c r="H10" s="2239"/>
      <c r="I10" s="2240"/>
      <c r="J10" s="2258"/>
      <c r="K10" s="2243"/>
      <c r="L10" s="2052"/>
      <c r="M10" s="2234"/>
      <c r="N10" s="2236"/>
      <c r="O10" s="2236"/>
      <c r="P10" s="2201"/>
      <c r="Q10" s="2201"/>
      <c r="R10" s="2209"/>
      <c r="S10" s="2209"/>
      <c r="T10" s="2209"/>
      <c r="U10" s="2209"/>
      <c r="V10" s="2209"/>
      <c r="W10" s="2209"/>
      <c r="X10" s="2209"/>
      <c r="Y10" s="2209"/>
      <c r="Z10" s="2221"/>
      <c r="AA10" s="2222"/>
    </row>
    <row r="11" spans="1:27">
      <c r="A11" s="2238"/>
      <c r="B11" s="2241"/>
      <c r="C11" s="2242"/>
      <c r="D11" s="2242"/>
      <c r="E11" s="2242"/>
      <c r="F11" s="2242"/>
      <c r="G11" s="2242"/>
      <c r="H11" s="2242"/>
      <c r="I11" s="2243"/>
      <c r="J11" s="2259"/>
      <c r="K11" s="2246"/>
      <c r="L11" s="2052"/>
      <c r="M11" s="2234"/>
      <c r="N11" s="2236"/>
      <c r="O11" s="2236"/>
      <c r="P11" s="2201"/>
      <c r="Q11" s="2201"/>
      <c r="R11" s="2209"/>
      <c r="S11" s="2209"/>
      <c r="T11" s="2209"/>
      <c r="U11" s="2209"/>
      <c r="V11" s="2209"/>
      <c r="W11" s="2209"/>
      <c r="X11" s="2209"/>
      <c r="Y11" s="2209"/>
      <c r="Z11" s="2221"/>
      <c r="AA11" s="2222"/>
    </row>
    <row r="12" spans="1:27">
      <c r="A12" s="2238"/>
      <c r="B12" s="2241"/>
      <c r="C12" s="2242"/>
      <c r="D12" s="2242"/>
      <c r="E12" s="2242"/>
      <c r="F12" s="2242"/>
      <c r="G12" s="2242"/>
      <c r="H12" s="2242"/>
      <c r="I12" s="2243"/>
      <c r="J12" s="2203" t="s">
        <v>115</v>
      </c>
      <c r="K12" s="2203" t="s">
        <v>116</v>
      </c>
      <c r="L12" s="2205" t="s">
        <v>117</v>
      </c>
      <c r="M12" s="2234"/>
      <c r="N12" s="2236"/>
      <c r="O12" s="2236"/>
      <c r="P12" s="2201"/>
      <c r="Q12" s="2201"/>
      <c r="R12" s="2209"/>
      <c r="S12" s="2209"/>
      <c r="T12" s="2209"/>
      <c r="U12" s="2209"/>
      <c r="V12" s="2209"/>
      <c r="W12" s="2209"/>
      <c r="X12" s="2209"/>
      <c r="Y12" s="2209"/>
      <c r="Z12" s="2221"/>
      <c r="AA12" s="2222"/>
    </row>
    <row r="13" spans="1:27">
      <c r="A13" s="2238"/>
      <c r="B13" s="2244"/>
      <c r="C13" s="2245"/>
      <c r="D13" s="2245"/>
      <c r="E13" s="2245"/>
      <c r="F13" s="2245"/>
      <c r="G13" s="2245"/>
      <c r="H13" s="2245"/>
      <c r="I13" s="2246"/>
      <c r="J13" s="2203"/>
      <c r="K13" s="2203"/>
      <c r="L13" s="2206"/>
      <c r="M13" s="2234"/>
      <c r="N13" s="2236"/>
      <c r="O13" s="2236"/>
      <c r="P13" s="2201"/>
      <c r="Q13" s="2201"/>
      <c r="R13" s="2209"/>
      <c r="S13" s="2209"/>
      <c r="T13" s="2209"/>
      <c r="U13" s="2209"/>
      <c r="V13" s="2209"/>
      <c r="W13" s="2209"/>
      <c r="X13" s="2209"/>
      <c r="Y13" s="2209"/>
      <c r="Z13" s="2221"/>
      <c r="AA13" s="2222"/>
    </row>
    <row r="14" spans="1:27">
      <c r="A14" s="2238"/>
      <c r="B14" s="2238" t="s">
        <v>118</v>
      </c>
      <c r="C14" s="2239"/>
      <c r="D14" s="2239"/>
      <c r="E14" s="2239"/>
      <c r="F14" s="2239"/>
      <c r="G14" s="2239"/>
      <c r="H14" s="2239"/>
      <c r="I14" s="2240"/>
      <c r="J14" s="2203"/>
      <c r="K14" s="2203"/>
      <c r="L14" s="2206"/>
      <c r="M14" s="2234"/>
      <c r="N14" s="2236"/>
      <c r="O14" s="2236"/>
      <c r="P14" s="2201"/>
      <c r="Q14" s="2201"/>
      <c r="R14" s="2209"/>
      <c r="S14" s="2209"/>
      <c r="T14" s="2209"/>
      <c r="U14" s="2209"/>
      <c r="V14" s="2209"/>
      <c r="W14" s="2209"/>
      <c r="X14" s="2209"/>
      <c r="Y14" s="2209"/>
      <c r="Z14" s="2221"/>
      <c r="AA14" s="2222"/>
    </row>
    <row r="15" spans="1:27">
      <c r="A15" s="2238"/>
      <c r="B15" s="2241"/>
      <c r="C15" s="2242"/>
      <c r="D15" s="2242"/>
      <c r="E15" s="2242"/>
      <c r="F15" s="2242"/>
      <c r="G15" s="2242"/>
      <c r="H15" s="2242"/>
      <c r="I15" s="2243"/>
      <c r="J15" s="2203"/>
      <c r="K15" s="2203"/>
      <c r="L15" s="2206"/>
      <c r="M15" s="2234"/>
      <c r="N15" s="2236"/>
      <c r="O15" s="2236"/>
      <c r="P15" s="2201"/>
      <c r="Q15" s="2201"/>
      <c r="R15" s="2209"/>
      <c r="S15" s="2209"/>
      <c r="T15" s="2209"/>
      <c r="U15" s="2209"/>
      <c r="V15" s="2209"/>
      <c r="W15" s="2209"/>
      <c r="X15" s="2209"/>
      <c r="Y15" s="2209"/>
      <c r="Z15" s="2221"/>
      <c r="AA15" s="2222"/>
    </row>
    <row r="16" spans="1:27">
      <c r="A16" s="2238"/>
      <c r="B16" s="2241"/>
      <c r="C16" s="2242"/>
      <c r="D16" s="2242"/>
      <c r="E16" s="2242"/>
      <c r="F16" s="2242"/>
      <c r="G16" s="2242"/>
      <c r="H16" s="2242"/>
      <c r="I16" s="2243"/>
      <c r="J16" s="2203"/>
      <c r="K16" s="2203"/>
      <c r="L16" s="2206"/>
      <c r="M16" s="2234"/>
      <c r="N16" s="2236"/>
      <c r="O16" s="2236"/>
      <c r="P16" s="2201"/>
      <c r="Q16" s="2201"/>
      <c r="R16" s="2209"/>
      <c r="S16" s="2209"/>
      <c r="T16" s="2209"/>
      <c r="U16" s="2209"/>
      <c r="V16" s="2209"/>
      <c r="W16" s="2209"/>
      <c r="X16" s="2209"/>
      <c r="Y16" s="2209"/>
      <c r="Z16" s="2221"/>
      <c r="AA16" s="2222"/>
    </row>
    <row r="17" spans="1:27" ht="13.5" thickBot="1">
      <c r="A17" s="2251"/>
      <c r="B17" s="2269"/>
      <c r="C17" s="2270"/>
      <c r="D17" s="2270"/>
      <c r="E17" s="2270"/>
      <c r="F17" s="2270"/>
      <c r="G17" s="2270"/>
      <c r="H17" s="2270"/>
      <c r="I17" s="2271"/>
      <c r="J17" s="2204"/>
      <c r="K17" s="2204"/>
      <c r="L17" s="2207"/>
      <c r="M17" s="2235"/>
      <c r="N17" s="2237"/>
      <c r="O17" s="2237"/>
      <c r="P17" s="2202"/>
      <c r="Q17" s="2202"/>
      <c r="R17" s="2210"/>
      <c r="S17" s="2210"/>
      <c r="T17" s="2210"/>
      <c r="U17" s="2210"/>
      <c r="V17" s="2210"/>
      <c r="W17" s="2210"/>
      <c r="X17" s="2210"/>
      <c r="Y17" s="2210"/>
      <c r="Z17" s="2223"/>
      <c r="AA17" s="2224"/>
    </row>
    <row r="18" spans="1:27" ht="13.5" thickTop="1">
      <c r="A18" s="2037">
        <v>1</v>
      </c>
      <c r="B18" s="2041" t="s">
        <v>101</v>
      </c>
      <c r="C18" s="2042"/>
      <c r="D18" s="2042">
        <v>801</v>
      </c>
      <c r="E18" s="2042"/>
      <c r="F18" s="2045" t="s">
        <v>141</v>
      </c>
      <c r="G18" s="2045"/>
      <c r="H18" s="2045"/>
      <c r="I18" s="2045"/>
      <c r="J18" s="2047">
        <v>2010</v>
      </c>
      <c r="K18" s="2047">
        <v>2012</v>
      </c>
      <c r="L18" s="2051">
        <f>SUM(N18,L24)</f>
        <v>0</v>
      </c>
      <c r="M18" s="2053" t="s">
        <v>120</v>
      </c>
      <c r="N18" s="2055">
        <f>SUM(N22:N29)</f>
        <v>0</v>
      </c>
      <c r="O18" s="2057" t="s">
        <v>112</v>
      </c>
      <c r="P18" s="2059">
        <f>SUM(P22:P29)</f>
        <v>0</v>
      </c>
      <c r="Q18" s="2059">
        <f>SUM(Q22:Q29)</f>
        <v>0</v>
      </c>
      <c r="R18" s="2059">
        <f>SUM(R22:R29)</f>
        <v>0</v>
      </c>
      <c r="S18" s="2059">
        <f>SUM(S22:S29)</f>
        <v>0</v>
      </c>
      <c r="T18" s="2059">
        <f t="shared" ref="T18:Y18" si="0">SUM(T22:T29)</f>
        <v>0</v>
      </c>
      <c r="U18" s="2059">
        <f t="shared" si="0"/>
        <v>0</v>
      </c>
      <c r="V18" s="2059">
        <f t="shared" si="0"/>
        <v>0</v>
      </c>
      <c r="W18" s="2059">
        <f t="shared" si="0"/>
        <v>0</v>
      </c>
      <c r="X18" s="2059">
        <f t="shared" si="0"/>
        <v>0</v>
      </c>
      <c r="Y18" s="2059">
        <f t="shared" si="0"/>
        <v>0</v>
      </c>
      <c r="Z18" s="2066" t="e">
        <f>SUM(AA22:AA29)</f>
        <v>#REF!</v>
      </c>
      <c r="AA18" s="2067"/>
    </row>
    <row r="19" spans="1:27">
      <c r="A19" s="2038"/>
      <c r="B19" s="2043"/>
      <c r="C19" s="2044"/>
      <c r="D19" s="2044"/>
      <c r="E19" s="2044"/>
      <c r="F19" s="2046"/>
      <c r="G19" s="2046"/>
      <c r="H19" s="2046"/>
      <c r="I19" s="2046"/>
      <c r="J19" s="2048"/>
      <c r="K19" s="2048"/>
      <c r="L19" s="2052"/>
      <c r="M19" s="2054"/>
      <c r="N19" s="2056"/>
      <c r="O19" s="2058"/>
      <c r="P19" s="2060"/>
      <c r="Q19" s="2060"/>
      <c r="R19" s="2060"/>
      <c r="S19" s="2060"/>
      <c r="T19" s="2060"/>
      <c r="U19" s="2060"/>
      <c r="V19" s="2060"/>
      <c r="W19" s="2060"/>
      <c r="X19" s="2060"/>
      <c r="Y19" s="2060"/>
      <c r="Z19" s="2068"/>
      <c r="AA19" s="2069"/>
    </row>
    <row r="20" spans="1:27">
      <c r="A20" s="2038"/>
      <c r="B20" s="2072" t="s">
        <v>107</v>
      </c>
      <c r="C20" s="2058"/>
      <c r="D20" s="2058">
        <v>80195</v>
      </c>
      <c r="E20" s="2058"/>
      <c r="F20" s="2046" t="s">
        <v>130</v>
      </c>
      <c r="G20" s="2046"/>
      <c r="H20" s="2046"/>
      <c r="I20" s="2046"/>
      <c r="J20" s="2048"/>
      <c r="K20" s="2048"/>
      <c r="L20" s="2052"/>
      <c r="M20" s="2054"/>
      <c r="N20" s="2056"/>
      <c r="O20" s="2058"/>
      <c r="P20" s="2060"/>
      <c r="Q20" s="2060"/>
      <c r="R20" s="2060"/>
      <c r="S20" s="2060"/>
      <c r="T20" s="2060"/>
      <c r="U20" s="2060"/>
      <c r="V20" s="2060"/>
      <c r="W20" s="2060"/>
      <c r="X20" s="2060"/>
      <c r="Y20" s="2060"/>
      <c r="Z20" s="2068"/>
      <c r="AA20" s="2069"/>
    </row>
    <row r="21" spans="1:27">
      <c r="A21" s="2038"/>
      <c r="B21" s="2073"/>
      <c r="C21" s="2074"/>
      <c r="D21" s="2074"/>
      <c r="E21" s="2074"/>
      <c r="F21" s="2075"/>
      <c r="G21" s="2075"/>
      <c r="H21" s="2075"/>
      <c r="I21" s="2075"/>
      <c r="J21" s="2048"/>
      <c r="K21" s="2048"/>
      <c r="L21" s="2052"/>
      <c r="M21" s="2054"/>
      <c r="N21" s="2056"/>
      <c r="O21" s="2058"/>
      <c r="P21" s="2060"/>
      <c r="Q21" s="2060"/>
      <c r="R21" s="2060"/>
      <c r="S21" s="2060"/>
      <c r="T21" s="2060"/>
      <c r="U21" s="2060"/>
      <c r="V21" s="2060"/>
      <c r="W21" s="2060"/>
      <c r="X21" s="2060"/>
      <c r="Y21" s="2060"/>
      <c r="Z21" s="2070"/>
      <c r="AA21" s="2071"/>
    </row>
    <row r="22" spans="1:27">
      <c r="A22" s="2039"/>
      <c r="B22" s="2039" t="s">
        <v>142</v>
      </c>
      <c r="C22" s="2211"/>
      <c r="D22" s="2211"/>
      <c r="E22" s="2211"/>
      <c r="F22" s="2211"/>
      <c r="G22" s="2211"/>
      <c r="H22" s="2211"/>
      <c r="I22" s="2212"/>
      <c r="J22" s="2049"/>
      <c r="K22" s="2048"/>
      <c r="L22" s="2052"/>
      <c r="M22" s="2034" t="s">
        <v>143</v>
      </c>
      <c r="N22" s="2130">
        <f>SUM(P22:Y29)</f>
        <v>0</v>
      </c>
      <c r="O22" s="2058" t="s">
        <v>112</v>
      </c>
      <c r="P22" s="2135">
        <v>0</v>
      </c>
      <c r="Q22" s="2135">
        <v>0</v>
      </c>
      <c r="R22" s="2135">
        <v>0</v>
      </c>
      <c r="S22" s="2135">
        <v>0</v>
      </c>
      <c r="T22" s="2135">
        <v>0</v>
      </c>
      <c r="U22" s="2135">
        <v>0</v>
      </c>
      <c r="V22" s="2135">
        <v>0</v>
      </c>
      <c r="W22" s="2135">
        <v>0</v>
      </c>
      <c r="X22" s="2135">
        <v>0</v>
      </c>
      <c r="Y22" s="2135">
        <v>0</v>
      </c>
      <c r="Z22" s="2183" t="s">
        <v>145</v>
      </c>
      <c r="AA22" s="2093" t="e">
        <f>#REF!</f>
        <v>#REF!</v>
      </c>
    </row>
    <row r="23" spans="1:27">
      <c r="A23" s="2039"/>
      <c r="B23" s="2213"/>
      <c r="C23" s="2214"/>
      <c r="D23" s="2214"/>
      <c r="E23" s="2214"/>
      <c r="F23" s="2214"/>
      <c r="G23" s="2214"/>
      <c r="H23" s="2214"/>
      <c r="I23" s="2215"/>
      <c r="J23" s="2049"/>
      <c r="K23" s="2048"/>
      <c r="L23" s="2052"/>
      <c r="M23" s="2035"/>
      <c r="N23" s="2131"/>
      <c r="O23" s="2058"/>
      <c r="P23" s="2136"/>
      <c r="Q23" s="2136"/>
      <c r="R23" s="2136"/>
      <c r="S23" s="2136"/>
      <c r="T23" s="2136"/>
      <c r="U23" s="2136"/>
      <c r="V23" s="2136"/>
      <c r="W23" s="2136"/>
      <c r="X23" s="2136"/>
      <c r="Y23" s="2136"/>
      <c r="Z23" s="2178"/>
      <c r="AA23" s="2062"/>
    </row>
    <row r="24" spans="1:27">
      <c r="A24" s="2039"/>
      <c r="B24" s="2213"/>
      <c r="C24" s="2214"/>
      <c r="D24" s="2214"/>
      <c r="E24" s="2214"/>
      <c r="F24" s="2214"/>
      <c r="G24" s="2214"/>
      <c r="H24" s="2214"/>
      <c r="I24" s="2215"/>
      <c r="J24" s="2049"/>
      <c r="K24" s="2048"/>
      <c r="L24" s="2089">
        <v>0</v>
      </c>
      <c r="M24" s="2035"/>
      <c r="N24" s="2131"/>
      <c r="O24" s="2058"/>
      <c r="P24" s="2136"/>
      <c r="Q24" s="2136"/>
      <c r="R24" s="2136"/>
      <c r="S24" s="2136"/>
      <c r="T24" s="2136"/>
      <c r="U24" s="2136"/>
      <c r="V24" s="2136"/>
      <c r="W24" s="2136"/>
      <c r="X24" s="2136"/>
      <c r="Y24" s="2136"/>
      <c r="Z24" s="2178" t="s">
        <v>154</v>
      </c>
      <c r="AA24" s="2062">
        <f>P18</f>
        <v>0</v>
      </c>
    </row>
    <row r="25" spans="1:27">
      <c r="A25" s="2039"/>
      <c r="B25" s="2216"/>
      <c r="C25" s="2217"/>
      <c r="D25" s="2217"/>
      <c r="E25" s="2217"/>
      <c r="F25" s="2217"/>
      <c r="G25" s="2217"/>
      <c r="H25" s="2217"/>
      <c r="I25" s="2218"/>
      <c r="J25" s="2049"/>
      <c r="K25" s="2048"/>
      <c r="L25" s="2089"/>
      <c r="M25" s="2035"/>
      <c r="N25" s="2131"/>
      <c r="O25" s="2058"/>
      <c r="P25" s="2136"/>
      <c r="Q25" s="2136"/>
      <c r="R25" s="2136"/>
      <c r="S25" s="2136"/>
      <c r="T25" s="2136"/>
      <c r="U25" s="2136"/>
      <c r="V25" s="2136"/>
      <c r="W25" s="2136"/>
      <c r="X25" s="2136"/>
      <c r="Y25" s="2136"/>
      <c r="Z25" s="2178"/>
      <c r="AA25" s="2062"/>
    </row>
    <row r="26" spans="1:27">
      <c r="A26" s="2039"/>
      <c r="B26" s="2028" t="s">
        <v>146</v>
      </c>
      <c r="C26" s="2029"/>
      <c r="D26" s="2029"/>
      <c r="E26" s="2029"/>
      <c r="F26" s="2029"/>
      <c r="G26" s="2029"/>
      <c r="H26" s="2029"/>
      <c r="I26" s="2030"/>
      <c r="J26" s="2048"/>
      <c r="K26" s="2048"/>
      <c r="L26" s="2089"/>
      <c r="M26" s="2035"/>
      <c r="N26" s="2131"/>
      <c r="O26" s="2058"/>
      <c r="P26" s="2136"/>
      <c r="Q26" s="2136"/>
      <c r="R26" s="2136"/>
      <c r="S26" s="2136"/>
      <c r="T26" s="2136"/>
      <c r="U26" s="2136"/>
      <c r="V26" s="2136"/>
      <c r="W26" s="2136"/>
      <c r="X26" s="2136"/>
      <c r="Y26" s="2136"/>
      <c r="Z26" s="2179"/>
      <c r="AA26" s="2181">
        <f>Q18</f>
        <v>0</v>
      </c>
    </row>
    <row r="27" spans="1:27">
      <c r="A27" s="2039"/>
      <c r="B27" s="2028"/>
      <c r="C27" s="2029"/>
      <c r="D27" s="2029"/>
      <c r="E27" s="2029"/>
      <c r="F27" s="2029"/>
      <c r="G27" s="2029"/>
      <c r="H27" s="2029"/>
      <c r="I27" s="2030"/>
      <c r="J27" s="2048"/>
      <c r="K27" s="2048"/>
      <c r="L27" s="2089"/>
      <c r="M27" s="2035"/>
      <c r="N27" s="2131"/>
      <c r="O27" s="2058"/>
      <c r="P27" s="2136"/>
      <c r="Q27" s="2136"/>
      <c r="R27" s="2136"/>
      <c r="S27" s="2136"/>
      <c r="T27" s="2136"/>
      <c r="U27" s="2136"/>
      <c r="V27" s="2136"/>
      <c r="W27" s="2136"/>
      <c r="X27" s="2136"/>
      <c r="Y27" s="2136"/>
      <c r="Z27" s="2179"/>
      <c r="AA27" s="2181"/>
    </row>
    <row r="28" spans="1:27">
      <c r="A28" s="2039"/>
      <c r="B28" s="2028"/>
      <c r="C28" s="2029"/>
      <c r="D28" s="2029"/>
      <c r="E28" s="2029"/>
      <c r="F28" s="2029"/>
      <c r="G28" s="2029"/>
      <c r="H28" s="2029"/>
      <c r="I28" s="2030"/>
      <c r="J28" s="2048"/>
      <c r="K28" s="2048"/>
      <c r="L28" s="2089"/>
      <c r="M28" s="2035"/>
      <c r="N28" s="2131"/>
      <c r="O28" s="2058"/>
      <c r="P28" s="2136"/>
      <c r="Q28" s="2136"/>
      <c r="R28" s="2136"/>
      <c r="S28" s="2136"/>
      <c r="T28" s="2136"/>
      <c r="U28" s="2136"/>
      <c r="V28" s="2136"/>
      <c r="W28" s="2136"/>
      <c r="X28" s="2136"/>
      <c r="Y28" s="2136"/>
      <c r="Z28" s="2179"/>
      <c r="AA28" s="2181">
        <f>R18</f>
        <v>0</v>
      </c>
    </row>
    <row r="29" spans="1:27" ht="13.5" thickBot="1">
      <c r="A29" s="2040"/>
      <c r="B29" s="2031"/>
      <c r="C29" s="2032"/>
      <c r="D29" s="2032"/>
      <c r="E29" s="2032"/>
      <c r="F29" s="2032"/>
      <c r="G29" s="2032"/>
      <c r="H29" s="2032"/>
      <c r="I29" s="2033"/>
      <c r="J29" s="2050"/>
      <c r="K29" s="2050"/>
      <c r="L29" s="2090"/>
      <c r="M29" s="2036"/>
      <c r="N29" s="2138"/>
      <c r="O29" s="2091"/>
      <c r="P29" s="2137"/>
      <c r="Q29" s="2137"/>
      <c r="R29" s="2137"/>
      <c r="S29" s="2137"/>
      <c r="T29" s="2137"/>
      <c r="U29" s="2137"/>
      <c r="V29" s="2137"/>
      <c r="W29" s="2137"/>
      <c r="X29" s="2137"/>
      <c r="Y29" s="2137"/>
      <c r="Z29" s="2180"/>
      <c r="AA29" s="2182"/>
    </row>
    <row r="30" spans="1:27" ht="14.25" thickTop="1" thickBot="1">
      <c r="A30" s="1149"/>
      <c r="B30" s="1146"/>
      <c r="C30" s="1146"/>
      <c r="D30" s="1146"/>
      <c r="E30" s="1146"/>
      <c r="F30" s="1146"/>
      <c r="G30" s="1146"/>
      <c r="H30" s="1146"/>
      <c r="I30" s="1146"/>
      <c r="J30" s="1149"/>
      <c r="K30" s="1149"/>
      <c r="L30" s="661"/>
      <c r="M30" s="822"/>
      <c r="N30" s="1149"/>
      <c r="O30" s="1149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34"/>
      <c r="AA30" s="633"/>
    </row>
    <row r="31" spans="1:27" ht="13.5" thickTop="1">
      <c r="A31" s="2037">
        <v>2</v>
      </c>
      <c r="B31" s="2041" t="s">
        <v>101</v>
      </c>
      <c r="C31" s="2042"/>
      <c r="D31" s="2042">
        <v>801</v>
      </c>
      <c r="E31" s="2042"/>
      <c r="F31" s="2045" t="s">
        <v>141</v>
      </c>
      <c r="G31" s="2045"/>
      <c r="H31" s="2045"/>
      <c r="I31" s="2045"/>
      <c r="J31" s="2047">
        <v>2010</v>
      </c>
      <c r="K31" s="2047">
        <v>2012</v>
      </c>
      <c r="L31" s="2051">
        <f>SUM(N31,L37)</f>
        <v>0</v>
      </c>
      <c r="M31" s="2053" t="s">
        <v>120</v>
      </c>
      <c r="N31" s="2055">
        <f>SUM(N35:N42)</f>
        <v>0</v>
      </c>
      <c r="O31" s="2057" t="s">
        <v>112</v>
      </c>
      <c r="P31" s="2059">
        <f>SUM(P35:P42)</f>
        <v>0</v>
      </c>
      <c r="Q31" s="2059">
        <f>SUM(Q35:Q42)</f>
        <v>0</v>
      </c>
      <c r="R31" s="2059">
        <f>SUM(R35:R42)</f>
        <v>0</v>
      </c>
      <c r="S31" s="2059">
        <f t="shared" ref="S31:Y31" si="1">SUM(S35:S42)</f>
        <v>0</v>
      </c>
      <c r="T31" s="2059">
        <f t="shared" si="1"/>
        <v>0</v>
      </c>
      <c r="U31" s="2059">
        <f t="shared" si="1"/>
        <v>0</v>
      </c>
      <c r="V31" s="2059">
        <f t="shared" si="1"/>
        <v>0</v>
      </c>
      <c r="W31" s="2059">
        <f t="shared" si="1"/>
        <v>0</v>
      </c>
      <c r="X31" s="2059">
        <f t="shared" si="1"/>
        <v>0</v>
      </c>
      <c r="Y31" s="2059">
        <f t="shared" si="1"/>
        <v>0</v>
      </c>
      <c r="Z31" s="2066" t="e">
        <f>SUM(AA35:AA42)</f>
        <v>#REF!</v>
      </c>
      <c r="AA31" s="2067"/>
    </row>
    <row r="32" spans="1:27">
      <c r="A32" s="2038"/>
      <c r="B32" s="2043"/>
      <c r="C32" s="2044"/>
      <c r="D32" s="2044"/>
      <c r="E32" s="2044"/>
      <c r="F32" s="2046"/>
      <c r="G32" s="2046"/>
      <c r="H32" s="2046"/>
      <c r="I32" s="2046"/>
      <c r="J32" s="2048"/>
      <c r="K32" s="2048"/>
      <c r="L32" s="2052"/>
      <c r="M32" s="2054"/>
      <c r="N32" s="2056"/>
      <c r="O32" s="2058"/>
      <c r="P32" s="2060"/>
      <c r="Q32" s="2060"/>
      <c r="R32" s="2060"/>
      <c r="S32" s="2060"/>
      <c r="T32" s="2060"/>
      <c r="U32" s="2060"/>
      <c r="V32" s="2060"/>
      <c r="W32" s="2060"/>
      <c r="X32" s="2060"/>
      <c r="Y32" s="2060"/>
      <c r="Z32" s="2068"/>
      <c r="AA32" s="2069"/>
    </row>
    <row r="33" spans="1:27">
      <c r="A33" s="2038"/>
      <c r="B33" s="2072" t="s">
        <v>107</v>
      </c>
      <c r="C33" s="2058"/>
      <c r="D33" s="2058">
        <v>80195</v>
      </c>
      <c r="E33" s="2058"/>
      <c r="F33" s="2046" t="s">
        <v>130</v>
      </c>
      <c r="G33" s="2046"/>
      <c r="H33" s="2046"/>
      <c r="I33" s="2046"/>
      <c r="J33" s="2048"/>
      <c r="K33" s="2048"/>
      <c r="L33" s="2052"/>
      <c r="M33" s="2054"/>
      <c r="N33" s="2056"/>
      <c r="O33" s="2058"/>
      <c r="P33" s="2060"/>
      <c r="Q33" s="2060"/>
      <c r="R33" s="2060"/>
      <c r="S33" s="2060"/>
      <c r="T33" s="2060"/>
      <c r="U33" s="2060"/>
      <c r="V33" s="2060"/>
      <c r="W33" s="2060"/>
      <c r="X33" s="2060"/>
      <c r="Y33" s="2060"/>
      <c r="Z33" s="2068"/>
      <c r="AA33" s="2069"/>
    </row>
    <row r="34" spans="1:27">
      <c r="A34" s="2038"/>
      <c r="B34" s="2073"/>
      <c r="C34" s="2074"/>
      <c r="D34" s="2074"/>
      <c r="E34" s="2074"/>
      <c r="F34" s="2075"/>
      <c r="G34" s="2075"/>
      <c r="H34" s="2075"/>
      <c r="I34" s="2075"/>
      <c r="J34" s="2048"/>
      <c r="K34" s="2048"/>
      <c r="L34" s="2052"/>
      <c r="M34" s="2054"/>
      <c r="N34" s="2056"/>
      <c r="O34" s="2058"/>
      <c r="P34" s="2060"/>
      <c r="Q34" s="2060"/>
      <c r="R34" s="2060"/>
      <c r="S34" s="2060"/>
      <c r="T34" s="2060"/>
      <c r="U34" s="2060"/>
      <c r="V34" s="2060"/>
      <c r="W34" s="2060"/>
      <c r="X34" s="2060"/>
      <c r="Y34" s="2060"/>
      <c r="Z34" s="2070"/>
      <c r="AA34" s="2071"/>
    </row>
    <row r="35" spans="1:27">
      <c r="A35" s="2039"/>
      <c r="B35" s="2039" t="s">
        <v>147</v>
      </c>
      <c r="C35" s="2211"/>
      <c r="D35" s="2211"/>
      <c r="E35" s="2211"/>
      <c r="F35" s="2211"/>
      <c r="G35" s="2211"/>
      <c r="H35" s="2211"/>
      <c r="I35" s="2212"/>
      <c r="J35" s="2049"/>
      <c r="K35" s="2048"/>
      <c r="L35" s="2052"/>
      <c r="M35" s="2085" t="s">
        <v>143</v>
      </c>
      <c r="N35" s="2086">
        <f>SUM(P35:Y38)</f>
        <v>0</v>
      </c>
      <c r="O35" s="2058" t="s">
        <v>112</v>
      </c>
      <c r="P35" s="2087">
        <v>0</v>
      </c>
      <c r="Q35" s="2087">
        <v>0</v>
      </c>
      <c r="R35" s="2087">
        <v>0</v>
      </c>
      <c r="S35" s="2087">
        <v>0</v>
      </c>
      <c r="T35" s="2087">
        <v>0</v>
      </c>
      <c r="U35" s="2087">
        <v>0</v>
      </c>
      <c r="V35" s="2087">
        <v>0</v>
      </c>
      <c r="W35" s="2087">
        <v>0</v>
      </c>
      <c r="X35" s="2087">
        <v>0</v>
      </c>
      <c r="Y35" s="2087">
        <v>0</v>
      </c>
      <c r="Z35" s="2183" t="s">
        <v>145</v>
      </c>
      <c r="AA35" s="2093" t="e">
        <f>#REF!</f>
        <v>#REF!</v>
      </c>
    </row>
    <row r="36" spans="1:27">
      <c r="A36" s="2039"/>
      <c r="B36" s="2213"/>
      <c r="C36" s="2214"/>
      <c r="D36" s="2214"/>
      <c r="E36" s="2214"/>
      <c r="F36" s="2214"/>
      <c r="G36" s="2214"/>
      <c r="H36" s="2214"/>
      <c r="I36" s="2215"/>
      <c r="J36" s="2049"/>
      <c r="K36" s="2048"/>
      <c r="L36" s="2052"/>
      <c r="M36" s="2085"/>
      <c r="N36" s="2058"/>
      <c r="O36" s="2058"/>
      <c r="P36" s="2087"/>
      <c r="Q36" s="2087"/>
      <c r="R36" s="2087"/>
      <c r="S36" s="2087"/>
      <c r="T36" s="2087"/>
      <c r="U36" s="2087"/>
      <c r="V36" s="2087"/>
      <c r="W36" s="2087"/>
      <c r="X36" s="2087"/>
      <c r="Y36" s="2087"/>
      <c r="Z36" s="2178"/>
      <c r="AA36" s="2062"/>
    </row>
    <row r="37" spans="1:27">
      <c r="A37" s="2039"/>
      <c r="B37" s="2213"/>
      <c r="C37" s="2214"/>
      <c r="D37" s="2214"/>
      <c r="E37" s="2214"/>
      <c r="F37" s="2214"/>
      <c r="G37" s="2214"/>
      <c r="H37" s="2214"/>
      <c r="I37" s="2215"/>
      <c r="J37" s="2049"/>
      <c r="K37" s="2048"/>
      <c r="L37" s="2089">
        <v>0</v>
      </c>
      <c r="M37" s="2085"/>
      <c r="N37" s="2058"/>
      <c r="O37" s="2058"/>
      <c r="P37" s="2087"/>
      <c r="Q37" s="2087"/>
      <c r="R37" s="2087"/>
      <c r="S37" s="2087"/>
      <c r="T37" s="2087"/>
      <c r="U37" s="2087"/>
      <c r="V37" s="2087"/>
      <c r="W37" s="2087"/>
      <c r="X37" s="2087"/>
      <c r="Y37" s="2087"/>
      <c r="Z37" s="2178" t="s">
        <v>154</v>
      </c>
      <c r="AA37" s="2062">
        <f>P31</f>
        <v>0</v>
      </c>
    </row>
    <row r="38" spans="1:27">
      <c r="A38" s="2039"/>
      <c r="B38" s="2216"/>
      <c r="C38" s="2217"/>
      <c r="D38" s="2217"/>
      <c r="E38" s="2217"/>
      <c r="F38" s="2217"/>
      <c r="G38" s="2217"/>
      <c r="H38" s="2217"/>
      <c r="I38" s="2218"/>
      <c r="J38" s="2049"/>
      <c r="K38" s="2048"/>
      <c r="L38" s="2089"/>
      <c r="M38" s="2085"/>
      <c r="N38" s="2058"/>
      <c r="O38" s="2058"/>
      <c r="P38" s="2087"/>
      <c r="Q38" s="2087"/>
      <c r="R38" s="2087"/>
      <c r="S38" s="2087"/>
      <c r="T38" s="2087"/>
      <c r="U38" s="2087"/>
      <c r="V38" s="2087"/>
      <c r="W38" s="2087"/>
      <c r="X38" s="2087"/>
      <c r="Y38" s="2087"/>
      <c r="Z38" s="2178"/>
      <c r="AA38" s="2062"/>
    </row>
    <row r="39" spans="1:27">
      <c r="A39" s="2039"/>
      <c r="B39" s="2028" t="s">
        <v>148</v>
      </c>
      <c r="C39" s="2029"/>
      <c r="D39" s="2029"/>
      <c r="E39" s="2029"/>
      <c r="F39" s="2029"/>
      <c r="G39" s="2029"/>
      <c r="H39" s="2029"/>
      <c r="I39" s="2030"/>
      <c r="J39" s="2048"/>
      <c r="K39" s="2048"/>
      <c r="L39" s="2089"/>
      <c r="M39" s="2034" t="s">
        <v>376</v>
      </c>
      <c r="N39" s="2086">
        <f>SUM(P39:Y42)</f>
        <v>0</v>
      </c>
      <c r="O39" s="2058" t="s">
        <v>112</v>
      </c>
      <c r="P39" s="2087">
        <v>0</v>
      </c>
      <c r="Q39" s="2087">
        <v>0</v>
      </c>
      <c r="R39" s="2135">
        <v>0</v>
      </c>
      <c r="S39" s="2135">
        <v>0</v>
      </c>
      <c r="T39" s="2135">
        <v>0</v>
      </c>
      <c r="U39" s="2135">
        <v>0</v>
      </c>
      <c r="V39" s="2135">
        <v>0</v>
      </c>
      <c r="W39" s="2135">
        <v>0</v>
      </c>
      <c r="X39" s="2135">
        <v>0</v>
      </c>
      <c r="Y39" s="2135">
        <v>0</v>
      </c>
      <c r="Z39" s="2178"/>
      <c r="AA39" s="2181">
        <f>Q31</f>
        <v>0</v>
      </c>
    </row>
    <row r="40" spans="1:27">
      <c r="A40" s="2039"/>
      <c r="B40" s="2028"/>
      <c r="C40" s="2029"/>
      <c r="D40" s="2029"/>
      <c r="E40" s="2029"/>
      <c r="F40" s="2029"/>
      <c r="G40" s="2029"/>
      <c r="H40" s="2029"/>
      <c r="I40" s="2030"/>
      <c r="J40" s="2048"/>
      <c r="K40" s="2048"/>
      <c r="L40" s="2089"/>
      <c r="M40" s="2035"/>
      <c r="N40" s="2058"/>
      <c r="O40" s="2058"/>
      <c r="P40" s="2087"/>
      <c r="Q40" s="2087"/>
      <c r="R40" s="2136"/>
      <c r="S40" s="2136"/>
      <c r="T40" s="2136"/>
      <c r="U40" s="2136"/>
      <c r="V40" s="2136"/>
      <c r="W40" s="2136"/>
      <c r="X40" s="2136"/>
      <c r="Y40" s="2136"/>
      <c r="Z40" s="2178"/>
      <c r="AA40" s="2181"/>
    </row>
    <row r="41" spans="1:27">
      <c r="A41" s="2039"/>
      <c r="B41" s="2028"/>
      <c r="C41" s="2029"/>
      <c r="D41" s="2029"/>
      <c r="E41" s="2029"/>
      <c r="F41" s="2029"/>
      <c r="G41" s="2029"/>
      <c r="H41" s="2029"/>
      <c r="I41" s="2030"/>
      <c r="J41" s="2048"/>
      <c r="K41" s="2048"/>
      <c r="L41" s="2089"/>
      <c r="M41" s="2035"/>
      <c r="N41" s="2058"/>
      <c r="O41" s="2058"/>
      <c r="P41" s="2087"/>
      <c r="Q41" s="2087"/>
      <c r="R41" s="2136"/>
      <c r="S41" s="2136"/>
      <c r="T41" s="2136"/>
      <c r="U41" s="2136"/>
      <c r="V41" s="2136"/>
      <c r="W41" s="2136"/>
      <c r="X41" s="2136"/>
      <c r="Y41" s="2136"/>
      <c r="Z41" s="2178"/>
      <c r="AA41" s="2181">
        <f>R31</f>
        <v>0</v>
      </c>
    </row>
    <row r="42" spans="1:27" ht="13.5" thickBot="1">
      <c r="A42" s="2040"/>
      <c r="B42" s="2031"/>
      <c r="C42" s="2032"/>
      <c r="D42" s="2032"/>
      <c r="E42" s="2032"/>
      <c r="F42" s="2032"/>
      <c r="G42" s="2032"/>
      <c r="H42" s="2032"/>
      <c r="I42" s="2033"/>
      <c r="J42" s="2050"/>
      <c r="K42" s="2050"/>
      <c r="L42" s="2090"/>
      <c r="M42" s="2036"/>
      <c r="N42" s="2091"/>
      <c r="O42" s="2091"/>
      <c r="P42" s="2088"/>
      <c r="Q42" s="2088"/>
      <c r="R42" s="2137"/>
      <c r="S42" s="2137"/>
      <c r="T42" s="2137"/>
      <c r="U42" s="2137"/>
      <c r="V42" s="2137"/>
      <c r="W42" s="2137"/>
      <c r="X42" s="2137"/>
      <c r="Y42" s="2137"/>
      <c r="Z42" s="2198"/>
      <c r="AA42" s="2182"/>
    </row>
    <row r="43" spans="1:27" ht="14.25" thickTop="1" thickBot="1">
      <c r="A43" s="1149"/>
      <c r="B43" s="1146"/>
      <c r="C43" s="1146"/>
      <c r="D43" s="1146"/>
      <c r="E43" s="1146"/>
      <c r="F43" s="1146"/>
      <c r="G43" s="1146"/>
      <c r="H43" s="1146"/>
      <c r="I43" s="1146"/>
      <c r="J43" s="1147"/>
      <c r="K43" s="1147"/>
      <c r="L43" s="661"/>
      <c r="M43" s="823"/>
      <c r="N43" s="1147"/>
      <c r="O43" s="1147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38"/>
      <c r="AA43" s="637"/>
    </row>
    <row r="44" spans="1:27" ht="13.5" thickTop="1">
      <c r="A44" s="2037">
        <v>1</v>
      </c>
      <c r="B44" s="2041" t="s">
        <v>101</v>
      </c>
      <c r="C44" s="2042"/>
      <c r="D44" s="2042">
        <v>852</v>
      </c>
      <c r="E44" s="2042"/>
      <c r="F44" s="2045" t="s">
        <v>150</v>
      </c>
      <c r="G44" s="2045"/>
      <c r="H44" s="2045"/>
      <c r="I44" s="2045"/>
      <c r="J44" s="2047">
        <v>2008</v>
      </c>
      <c r="K44" s="2047">
        <v>2013</v>
      </c>
      <c r="L44" s="2185">
        <v>4422105.3600000003</v>
      </c>
      <c r="M44" s="2053" t="s">
        <v>120</v>
      </c>
      <c r="N44" s="2055">
        <f>SUM(N48:N59)</f>
        <v>757774</v>
      </c>
      <c r="O44" s="2057" t="s">
        <v>112</v>
      </c>
      <c r="P44" s="2059">
        <f>SUM(P48:P59)</f>
        <v>757774</v>
      </c>
      <c r="Q44" s="2059">
        <f>SUM(Q48:Q59)</f>
        <v>0</v>
      </c>
      <c r="R44" s="2059">
        <f>SUM(R48:R59)</f>
        <v>0</v>
      </c>
      <c r="S44" s="2059">
        <f t="shared" ref="S44:Y44" si="2">SUM(S48:S59)</f>
        <v>0</v>
      </c>
      <c r="T44" s="2059">
        <f t="shared" si="2"/>
        <v>0</v>
      </c>
      <c r="U44" s="2059">
        <f t="shared" si="2"/>
        <v>0</v>
      </c>
      <c r="V44" s="2059">
        <f t="shared" si="2"/>
        <v>0</v>
      </c>
      <c r="W44" s="2059">
        <f t="shared" si="2"/>
        <v>0</v>
      </c>
      <c r="X44" s="2059">
        <f t="shared" si="2"/>
        <v>0</v>
      </c>
      <c r="Y44" s="2059">
        <f t="shared" si="2"/>
        <v>0</v>
      </c>
      <c r="Z44" s="2189">
        <f>SUM(AA48:AA59)</f>
        <v>757774</v>
      </c>
      <c r="AA44" s="2067"/>
    </row>
    <row r="45" spans="1:27">
      <c r="A45" s="2038"/>
      <c r="B45" s="2043"/>
      <c r="C45" s="2044"/>
      <c r="D45" s="2044"/>
      <c r="E45" s="2044"/>
      <c r="F45" s="2046"/>
      <c r="G45" s="2046"/>
      <c r="H45" s="2046"/>
      <c r="I45" s="2046"/>
      <c r="J45" s="2048"/>
      <c r="K45" s="2048"/>
      <c r="L45" s="2186"/>
      <c r="M45" s="2054"/>
      <c r="N45" s="2056"/>
      <c r="O45" s="2058"/>
      <c r="P45" s="2060"/>
      <c r="Q45" s="2060"/>
      <c r="R45" s="2060"/>
      <c r="S45" s="2060"/>
      <c r="T45" s="2060"/>
      <c r="U45" s="2060"/>
      <c r="V45" s="2060"/>
      <c r="W45" s="2060"/>
      <c r="X45" s="2060"/>
      <c r="Y45" s="2060"/>
      <c r="Z45" s="2190"/>
      <c r="AA45" s="2069"/>
    </row>
    <row r="46" spans="1:27">
      <c r="A46" s="2038"/>
      <c r="B46" s="2072" t="s">
        <v>107</v>
      </c>
      <c r="C46" s="2058"/>
      <c r="D46" s="2058">
        <v>85214</v>
      </c>
      <c r="E46" s="2058"/>
      <c r="F46" s="2046" t="s">
        <v>151</v>
      </c>
      <c r="G46" s="2046"/>
      <c r="H46" s="2046"/>
      <c r="I46" s="2046"/>
      <c r="J46" s="2048"/>
      <c r="K46" s="2048"/>
      <c r="L46" s="2186"/>
      <c r="M46" s="2054"/>
      <c r="N46" s="2056"/>
      <c r="O46" s="2058"/>
      <c r="P46" s="2060"/>
      <c r="Q46" s="2060"/>
      <c r="R46" s="2060"/>
      <c r="S46" s="2060"/>
      <c r="T46" s="2060"/>
      <c r="U46" s="2060"/>
      <c r="V46" s="2060"/>
      <c r="W46" s="2060"/>
      <c r="X46" s="2060"/>
      <c r="Y46" s="2060"/>
      <c r="Z46" s="2190"/>
      <c r="AA46" s="2069"/>
    </row>
    <row r="47" spans="1:27">
      <c r="A47" s="2038"/>
      <c r="B47" s="2073"/>
      <c r="C47" s="2074"/>
      <c r="D47" s="2074"/>
      <c r="E47" s="2074"/>
      <c r="F47" s="2075"/>
      <c r="G47" s="2075"/>
      <c r="H47" s="2075"/>
      <c r="I47" s="2075"/>
      <c r="J47" s="2048"/>
      <c r="K47" s="2048"/>
      <c r="L47" s="2186"/>
      <c r="M47" s="2054"/>
      <c r="N47" s="2056"/>
      <c r="O47" s="2058"/>
      <c r="P47" s="2060"/>
      <c r="Q47" s="2060"/>
      <c r="R47" s="2060"/>
      <c r="S47" s="2060"/>
      <c r="T47" s="2060"/>
      <c r="U47" s="2060"/>
      <c r="V47" s="2060"/>
      <c r="W47" s="2060"/>
      <c r="X47" s="2060"/>
      <c r="Y47" s="2060"/>
      <c r="Z47" s="2191"/>
      <c r="AA47" s="2071"/>
    </row>
    <row r="48" spans="1:27">
      <c r="A48" s="2039"/>
      <c r="B48" s="2072" t="s">
        <v>107</v>
      </c>
      <c r="C48" s="2058"/>
      <c r="D48" s="2058">
        <v>85295</v>
      </c>
      <c r="E48" s="2058"/>
      <c r="F48" s="2046" t="s">
        <v>130</v>
      </c>
      <c r="G48" s="2046"/>
      <c r="H48" s="2046"/>
      <c r="I48" s="2046"/>
      <c r="J48" s="2049"/>
      <c r="K48" s="2048"/>
      <c r="L48" s="2186"/>
      <c r="M48" s="2085" t="s">
        <v>350</v>
      </c>
      <c r="N48" s="2086">
        <f>SUM(P48:Y51)</f>
        <v>0</v>
      </c>
      <c r="O48" s="2058" t="s">
        <v>112</v>
      </c>
      <c r="P48" s="2087">
        <v>0</v>
      </c>
      <c r="Q48" s="2087">
        <v>0</v>
      </c>
      <c r="R48" s="2087">
        <v>0</v>
      </c>
      <c r="S48" s="2087">
        <v>0</v>
      </c>
      <c r="T48" s="2087">
        <v>0</v>
      </c>
      <c r="U48" s="2087">
        <v>0</v>
      </c>
      <c r="V48" s="2087">
        <v>0</v>
      </c>
      <c r="W48" s="2087">
        <v>0</v>
      </c>
      <c r="X48" s="2087">
        <v>0</v>
      </c>
      <c r="Y48" s="2087">
        <v>0</v>
      </c>
      <c r="Z48" s="2199"/>
      <c r="AA48" s="2093"/>
    </row>
    <row r="49" spans="1:27">
      <c r="A49" s="2039"/>
      <c r="B49" s="2072"/>
      <c r="C49" s="2058"/>
      <c r="D49" s="2074"/>
      <c r="E49" s="2074"/>
      <c r="F49" s="2075"/>
      <c r="G49" s="2075"/>
      <c r="H49" s="2075"/>
      <c r="I49" s="2075"/>
      <c r="J49" s="2049"/>
      <c r="K49" s="2048"/>
      <c r="L49" s="2186"/>
      <c r="M49" s="2085"/>
      <c r="N49" s="2086"/>
      <c r="O49" s="2058"/>
      <c r="P49" s="2087"/>
      <c r="Q49" s="2087"/>
      <c r="R49" s="2087"/>
      <c r="S49" s="2087"/>
      <c r="T49" s="2087"/>
      <c r="U49" s="2087"/>
      <c r="V49" s="2087"/>
      <c r="W49" s="2087"/>
      <c r="X49" s="2087"/>
      <c r="Y49" s="2087"/>
      <c r="Z49" s="2188"/>
      <c r="AA49" s="2062"/>
    </row>
    <row r="50" spans="1:27">
      <c r="A50" s="2039"/>
      <c r="B50" s="2514" t="s">
        <v>153</v>
      </c>
      <c r="C50" s="2515"/>
      <c r="D50" s="2515"/>
      <c r="E50" s="2515"/>
      <c r="F50" s="2515"/>
      <c r="G50" s="2515"/>
      <c r="H50" s="2515"/>
      <c r="I50" s="2522"/>
      <c r="J50" s="2049"/>
      <c r="K50" s="2048"/>
      <c r="L50" s="2186"/>
      <c r="M50" s="2085"/>
      <c r="N50" s="2086"/>
      <c r="O50" s="2058"/>
      <c r="P50" s="2087"/>
      <c r="Q50" s="2087"/>
      <c r="R50" s="2087"/>
      <c r="S50" s="2087"/>
      <c r="T50" s="2087"/>
      <c r="U50" s="2087"/>
      <c r="V50" s="2087"/>
      <c r="W50" s="2087"/>
      <c r="X50" s="2087"/>
      <c r="Y50" s="2087"/>
      <c r="Z50" s="2188" t="s">
        <v>154</v>
      </c>
      <c r="AA50" s="2062">
        <f>P44</f>
        <v>757774</v>
      </c>
    </row>
    <row r="51" spans="1:27">
      <c r="A51" s="2039"/>
      <c r="B51" s="2523"/>
      <c r="C51" s="2524"/>
      <c r="D51" s="2524"/>
      <c r="E51" s="2524"/>
      <c r="F51" s="2524"/>
      <c r="G51" s="2524"/>
      <c r="H51" s="2524"/>
      <c r="I51" s="2525"/>
      <c r="J51" s="2049"/>
      <c r="K51" s="2048"/>
      <c r="L51" s="2187"/>
      <c r="M51" s="2034"/>
      <c r="N51" s="2130"/>
      <c r="O51" s="2058"/>
      <c r="P51" s="2135"/>
      <c r="Q51" s="2135"/>
      <c r="R51" s="2087"/>
      <c r="S51" s="2087"/>
      <c r="T51" s="2087"/>
      <c r="U51" s="2087"/>
      <c r="V51" s="2087"/>
      <c r="W51" s="2087"/>
      <c r="X51" s="2087"/>
      <c r="Y51" s="2087"/>
      <c r="Z51" s="2188"/>
      <c r="AA51" s="2062"/>
    </row>
    <row r="52" spans="1:27">
      <c r="A52" s="2039"/>
      <c r="B52" s="2523"/>
      <c r="C52" s="2524"/>
      <c r="D52" s="2524"/>
      <c r="E52" s="2524"/>
      <c r="F52" s="2524"/>
      <c r="G52" s="2524"/>
      <c r="H52" s="2524"/>
      <c r="I52" s="2525"/>
      <c r="J52" s="2048"/>
      <c r="K52" s="2048"/>
      <c r="L52" s="2192">
        <v>3664331.36</v>
      </c>
      <c r="M52" s="2034" t="s">
        <v>143</v>
      </c>
      <c r="N52" s="2086">
        <f>SUM(P52:Y55)</f>
        <v>740353</v>
      </c>
      <c r="O52" s="2058" t="s">
        <v>112</v>
      </c>
      <c r="P52" s="2135">
        <v>740353</v>
      </c>
      <c r="Q52" s="2135">
        <v>0</v>
      </c>
      <c r="R52" s="2087">
        <v>0</v>
      </c>
      <c r="S52" s="2087">
        <v>0</v>
      </c>
      <c r="T52" s="2087">
        <v>0</v>
      </c>
      <c r="U52" s="2087">
        <v>0</v>
      </c>
      <c r="V52" s="2087">
        <v>0</v>
      </c>
      <c r="W52" s="2087">
        <v>0</v>
      </c>
      <c r="X52" s="2087">
        <v>0</v>
      </c>
      <c r="Y52" s="2087">
        <v>0</v>
      </c>
      <c r="Z52" s="2188"/>
      <c r="AA52" s="2181">
        <f>Q44</f>
        <v>0</v>
      </c>
    </row>
    <row r="53" spans="1:27">
      <c r="A53" s="2039"/>
      <c r="B53" s="2523"/>
      <c r="C53" s="2524"/>
      <c r="D53" s="2524"/>
      <c r="E53" s="2524"/>
      <c r="F53" s="2524"/>
      <c r="G53" s="2524"/>
      <c r="H53" s="2524"/>
      <c r="I53" s="2525"/>
      <c r="J53" s="2048"/>
      <c r="K53" s="2048"/>
      <c r="L53" s="2125"/>
      <c r="M53" s="2035"/>
      <c r="N53" s="2086"/>
      <c r="O53" s="2058"/>
      <c r="P53" s="2136"/>
      <c r="Q53" s="2136"/>
      <c r="R53" s="2087"/>
      <c r="S53" s="2087"/>
      <c r="T53" s="2087"/>
      <c r="U53" s="2087"/>
      <c r="V53" s="2087"/>
      <c r="W53" s="2087"/>
      <c r="X53" s="2087"/>
      <c r="Y53" s="2087"/>
      <c r="Z53" s="2188"/>
      <c r="AA53" s="2181"/>
    </row>
    <row r="54" spans="1:27">
      <c r="A54" s="2039"/>
      <c r="B54" s="2523"/>
      <c r="C54" s="2524"/>
      <c r="D54" s="2524"/>
      <c r="E54" s="2524"/>
      <c r="F54" s="2524"/>
      <c r="G54" s="2524"/>
      <c r="H54" s="2524"/>
      <c r="I54" s="2525"/>
      <c r="J54" s="2048"/>
      <c r="K54" s="2048"/>
      <c r="L54" s="2125"/>
      <c r="M54" s="2035"/>
      <c r="N54" s="2086"/>
      <c r="O54" s="2058"/>
      <c r="P54" s="2136"/>
      <c r="Q54" s="2136"/>
      <c r="R54" s="2087"/>
      <c r="S54" s="2087"/>
      <c r="T54" s="2087"/>
      <c r="U54" s="2087"/>
      <c r="V54" s="2087"/>
      <c r="W54" s="2087"/>
      <c r="X54" s="2087"/>
      <c r="Y54" s="2087"/>
      <c r="Z54" s="2188"/>
      <c r="AA54" s="2181">
        <f>R44</f>
        <v>0</v>
      </c>
    </row>
    <row r="55" spans="1:27">
      <c r="A55" s="2039"/>
      <c r="B55" s="2518"/>
      <c r="C55" s="2519"/>
      <c r="D55" s="2519"/>
      <c r="E55" s="2519"/>
      <c r="F55" s="2519"/>
      <c r="G55" s="2519"/>
      <c r="H55" s="2519"/>
      <c r="I55" s="2526"/>
      <c r="J55" s="2048"/>
      <c r="K55" s="2048"/>
      <c r="L55" s="2125"/>
      <c r="M55" s="2194"/>
      <c r="N55" s="2130"/>
      <c r="O55" s="2058"/>
      <c r="P55" s="2184"/>
      <c r="Q55" s="2184"/>
      <c r="R55" s="2087"/>
      <c r="S55" s="2087"/>
      <c r="T55" s="2087"/>
      <c r="U55" s="2087"/>
      <c r="V55" s="2087"/>
      <c r="W55" s="2087"/>
      <c r="X55" s="2087"/>
      <c r="Y55" s="2087"/>
      <c r="Z55" s="2188"/>
      <c r="AA55" s="2181"/>
    </row>
    <row r="56" spans="1:27">
      <c r="A56" s="2039"/>
      <c r="B56" s="2028" t="s">
        <v>155</v>
      </c>
      <c r="C56" s="2029"/>
      <c r="D56" s="2029"/>
      <c r="E56" s="2029"/>
      <c r="F56" s="2029"/>
      <c r="G56" s="2029"/>
      <c r="H56" s="2029"/>
      <c r="I56" s="2030"/>
      <c r="J56" s="2048"/>
      <c r="K56" s="2048"/>
      <c r="L56" s="2125"/>
      <c r="M56" s="2034" t="s">
        <v>375</v>
      </c>
      <c r="N56" s="2086">
        <f>SUM(P56:Y59)</f>
        <v>17421</v>
      </c>
      <c r="O56" s="2058" t="s">
        <v>112</v>
      </c>
      <c r="P56" s="2135">
        <v>17421</v>
      </c>
      <c r="Q56" s="2135">
        <v>0</v>
      </c>
      <c r="R56" s="2135">
        <v>0</v>
      </c>
      <c r="S56" s="2135">
        <v>0</v>
      </c>
      <c r="T56" s="2135">
        <v>0</v>
      </c>
      <c r="U56" s="2135">
        <v>0</v>
      </c>
      <c r="V56" s="2135">
        <v>0</v>
      </c>
      <c r="W56" s="2135">
        <v>0</v>
      </c>
      <c r="X56" s="2135">
        <v>0</v>
      </c>
      <c r="Y56" s="2135">
        <v>0</v>
      </c>
      <c r="Z56" s="2188"/>
      <c r="AA56" s="2062"/>
    </row>
    <row r="57" spans="1:27">
      <c r="A57" s="2039"/>
      <c r="B57" s="2028"/>
      <c r="C57" s="2029"/>
      <c r="D57" s="2029"/>
      <c r="E57" s="2029"/>
      <c r="F57" s="2029"/>
      <c r="G57" s="2029"/>
      <c r="H57" s="2029"/>
      <c r="I57" s="2030"/>
      <c r="J57" s="2048"/>
      <c r="K57" s="2048"/>
      <c r="L57" s="2125"/>
      <c r="M57" s="2035"/>
      <c r="N57" s="2086"/>
      <c r="O57" s="2058"/>
      <c r="P57" s="2136"/>
      <c r="Q57" s="2136"/>
      <c r="R57" s="2136"/>
      <c r="S57" s="2136"/>
      <c r="T57" s="2136"/>
      <c r="U57" s="2136"/>
      <c r="V57" s="2136"/>
      <c r="W57" s="2136"/>
      <c r="X57" s="2136"/>
      <c r="Y57" s="2136"/>
      <c r="Z57" s="2188"/>
      <c r="AA57" s="2062"/>
    </row>
    <row r="58" spans="1:27">
      <c r="A58" s="2039"/>
      <c r="B58" s="2028"/>
      <c r="C58" s="2029"/>
      <c r="D58" s="2029"/>
      <c r="E58" s="2029"/>
      <c r="F58" s="2029"/>
      <c r="G58" s="2029"/>
      <c r="H58" s="2029"/>
      <c r="I58" s="2030"/>
      <c r="J58" s="2048"/>
      <c r="K58" s="2048"/>
      <c r="L58" s="2125"/>
      <c r="M58" s="2035"/>
      <c r="N58" s="2086"/>
      <c r="O58" s="2058"/>
      <c r="P58" s="2136"/>
      <c r="Q58" s="2136"/>
      <c r="R58" s="2136"/>
      <c r="S58" s="2136"/>
      <c r="T58" s="2136"/>
      <c r="U58" s="2136"/>
      <c r="V58" s="2136"/>
      <c r="W58" s="2136"/>
      <c r="X58" s="2136"/>
      <c r="Y58" s="2136"/>
      <c r="Z58" s="2188"/>
      <c r="AA58" s="2062"/>
    </row>
    <row r="59" spans="1:27" ht="13.5" thickBot="1">
      <c r="A59" s="2040"/>
      <c r="B59" s="2031"/>
      <c r="C59" s="2032"/>
      <c r="D59" s="2032"/>
      <c r="E59" s="2032"/>
      <c r="F59" s="2032"/>
      <c r="G59" s="2032"/>
      <c r="H59" s="2032"/>
      <c r="I59" s="2033"/>
      <c r="J59" s="2050"/>
      <c r="K59" s="2050"/>
      <c r="L59" s="2193"/>
      <c r="M59" s="2036"/>
      <c r="N59" s="2197"/>
      <c r="O59" s="2091"/>
      <c r="P59" s="2137"/>
      <c r="Q59" s="2137"/>
      <c r="R59" s="2137"/>
      <c r="S59" s="2137"/>
      <c r="T59" s="2137"/>
      <c r="U59" s="2137"/>
      <c r="V59" s="2137"/>
      <c r="W59" s="2137"/>
      <c r="X59" s="2137"/>
      <c r="Y59" s="2137"/>
      <c r="Z59" s="2195"/>
      <c r="AA59" s="2196"/>
    </row>
    <row r="60" spans="1:27" ht="14.25" thickTop="1" thickBot="1">
      <c r="A60" s="1149"/>
      <c r="B60" s="1146"/>
      <c r="C60" s="1146"/>
      <c r="D60" s="1146"/>
      <c r="E60" s="1146"/>
      <c r="F60" s="1146"/>
      <c r="G60" s="1146"/>
      <c r="H60" s="1146"/>
      <c r="I60" s="1146"/>
      <c r="J60" s="1147"/>
      <c r="K60" s="1147"/>
      <c r="L60" s="662"/>
      <c r="M60" s="824"/>
      <c r="N60" s="638"/>
      <c r="O60" s="1147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1148"/>
      <c r="AA60" s="642"/>
    </row>
    <row r="61" spans="1:27" ht="13.5" thickTop="1">
      <c r="A61" s="2037">
        <v>2</v>
      </c>
      <c r="B61" s="2041" t="s">
        <v>101</v>
      </c>
      <c r="C61" s="2042"/>
      <c r="D61" s="2042">
        <v>851</v>
      </c>
      <c r="E61" s="2042"/>
      <c r="F61" s="2045" t="s">
        <v>392</v>
      </c>
      <c r="G61" s="2045"/>
      <c r="H61" s="2045"/>
      <c r="I61" s="2045"/>
      <c r="J61" s="2047">
        <v>2012</v>
      </c>
      <c r="K61" s="2047">
        <v>2015</v>
      </c>
      <c r="L61" s="2051">
        <v>2126059.7000000002</v>
      </c>
      <c r="M61" s="2053" t="s">
        <v>120</v>
      </c>
      <c r="N61" s="2055">
        <f>SUM(N65:N72)</f>
        <v>1715725</v>
      </c>
      <c r="O61" s="2057" t="s">
        <v>112</v>
      </c>
      <c r="P61" s="2059">
        <f>SUM(P65:P72)</f>
        <v>737691</v>
      </c>
      <c r="Q61" s="2059">
        <f>SUM(Q65:Q72)</f>
        <v>774321</v>
      </c>
      <c r="R61" s="2059">
        <f>SUM(R65:R72)</f>
        <v>203713</v>
      </c>
      <c r="S61" s="2059">
        <f t="shared" ref="S61:Y61" si="3">SUM(S65:S72)</f>
        <v>0</v>
      </c>
      <c r="T61" s="2059">
        <f t="shared" si="3"/>
        <v>0</v>
      </c>
      <c r="U61" s="2059">
        <f t="shared" si="3"/>
        <v>0</v>
      </c>
      <c r="V61" s="2059">
        <f t="shared" si="3"/>
        <v>0</v>
      </c>
      <c r="W61" s="2059">
        <f t="shared" si="3"/>
        <v>0</v>
      </c>
      <c r="X61" s="2059">
        <f t="shared" si="3"/>
        <v>0</v>
      </c>
      <c r="Y61" s="2059">
        <f t="shared" si="3"/>
        <v>0</v>
      </c>
      <c r="Z61" s="2066">
        <f>SUM(AA65:AA72)</f>
        <v>1715725</v>
      </c>
      <c r="AA61" s="2067"/>
    </row>
    <row r="62" spans="1:27">
      <c r="A62" s="2038"/>
      <c r="B62" s="2043"/>
      <c r="C62" s="2044"/>
      <c r="D62" s="2044"/>
      <c r="E62" s="2044"/>
      <c r="F62" s="2046"/>
      <c r="G62" s="2046"/>
      <c r="H62" s="2046"/>
      <c r="I62" s="2046"/>
      <c r="J62" s="2048"/>
      <c r="K62" s="2048"/>
      <c r="L62" s="2052"/>
      <c r="M62" s="2054"/>
      <c r="N62" s="2056"/>
      <c r="O62" s="2058"/>
      <c r="P62" s="2060"/>
      <c r="Q62" s="2060"/>
      <c r="R62" s="2060"/>
      <c r="S62" s="2060"/>
      <c r="T62" s="2060"/>
      <c r="U62" s="2060"/>
      <c r="V62" s="2060"/>
      <c r="W62" s="2060"/>
      <c r="X62" s="2060"/>
      <c r="Y62" s="2060"/>
      <c r="Z62" s="2068"/>
      <c r="AA62" s="2069"/>
    </row>
    <row r="63" spans="1:27">
      <c r="A63" s="2038"/>
      <c r="B63" s="2072" t="s">
        <v>107</v>
      </c>
      <c r="C63" s="2058"/>
      <c r="D63" s="2058">
        <v>85111</v>
      </c>
      <c r="E63" s="2058"/>
      <c r="F63" s="2046" t="s">
        <v>393</v>
      </c>
      <c r="G63" s="2046"/>
      <c r="H63" s="2046"/>
      <c r="I63" s="2046"/>
      <c r="J63" s="2048"/>
      <c r="K63" s="2048"/>
      <c r="L63" s="2052"/>
      <c r="M63" s="2054"/>
      <c r="N63" s="2056"/>
      <c r="O63" s="2058"/>
      <c r="P63" s="2060"/>
      <c r="Q63" s="2060"/>
      <c r="R63" s="2060"/>
      <c r="S63" s="2060"/>
      <c r="T63" s="2060"/>
      <c r="U63" s="2060"/>
      <c r="V63" s="2060"/>
      <c r="W63" s="2060"/>
      <c r="X63" s="2060"/>
      <c r="Y63" s="2060"/>
      <c r="Z63" s="2068"/>
      <c r="AA63" s="2069"/>
    </row>
    <row r="64" spans="1:27">
      <c r="A64" s="2038"/>
      <c r="B64" s="2073"/>
      <c r="C64" s="2074"/>
      <c r="D64" s="2074"/>
      <c r="E64" s="2074"/>
      <c r="F64" s="2075"/>
      <c r="G64" s="2075"/>
      <c r="H64" s="2075"/>
      <c r="I64" s="2075"/>
      <c r="J64" s="2048"/>
      <c r="K64" s="2048"/>
      <c r="L64" s="2052"/>
      <c r="M64" s="2054"/>
      <c r="N64" s="2056"/>
      <c r="O64" s="2058"/>
      <c r="P64" s="2060"/>
      <c r="Q64" s="2060"/>
      <c r="R64" s="2060"/>
      <c r="S64" s="2060"/>
      <c r="T64" s="2060"/>
      <c r="U64" s="2060"/>
      <c r="V64" s="2060"/>
      <c r="W64" s="2060"/>
      <c r="X64" s="2060"/>
      <c r="Y64" s="2060"/>
      <c r="Z64" s="2070"/>
      <c r="AA64" s="2071"/>
    </row>
    <row r="65" spans="1:27">
      <c r="A65" s="2039"/>
      <c r="B65" s="2514" t="s">
        <v>401</v>
      </c>
      <c r="C65" s="2515"/>
      <c r="D65" s="2515"/>
      <c r="E65" s="2515"/>
      <c r="F65" s="2515"/>
      <c r="G65" s="2515"/>
      <c r="H65" s="2515"/>
      <c r="I65" s="2522"/>
      <c r="J65" s="2049"/>
      <c r="K65" s="2048"/>
      <c r="L65" s="2052"/>
      <c r="M65" s="2085" t="s">
        <v>143</v>
      </c>
      <c r="N65" s="2086">
        <f>SUM(P65:Y68)</f>
        <v>0</v>
      </c>
      <c r="O65" s="2058" t="s">
        <v>112</v>
      </c>
      <c r="P65" s="2087">
        <v>0</v>
      </c>
      <c r="Q65" s="2087">
        <v>0</v>
      </c>
      <c r="R65" s="2135">
        <v>0</v>
      </c>
      <c r="S65" s="2135">
        <v>0</v>
      </c>
      <c r="T65" s="2135">
        <v>0</v>
      </c>
      <c r="U65" s="2135">
        <v>0</v>
      </c>
      <c r="V65" s="2135">
        <v>0</v>
      </c>
      <c r="W65" s="2135">
        <v>0</v>
      </c>
      <c r="X65" s="2135">
        <v>0</v>
      </c>
      <c r="Y65" s="2135">
        <v>0</v>
      </c>
      <c r="Z65" s="2183"/>
      <c r="AA65" s="2093"/>
    </row>
    <row r="66" spans="1:27">
      <c r="A66" s="2039"/>
      <c r="B66" s="2523"/>
      <c r="C66" s="2524"/>
      <c r="D66" s="2524"/>
      <c r="E66" s="2524"/>
      <c r="F66" s="2524"/>
      <c r="G66" s="2524"/>
      <c r="H66" s="2524"/>
      <c r="I66" s="2525"/>
      <c r="J66" s="2049"/>
      <c r="K66" s="2048"/>
      <c r="L66" s="2052"/>
      <c r="M66" s="2085"/>
      <c r="N66" s="2058"/>
      <c r="O66" s="2058"/>
      <c r="P66" s="2087"/>
      <c r="Q66" s="2087"/>
      <c r="R66" s="2136"/>
      <c r="S66" s="2136"/>
      <c r="T66" s="2136"/>
      <c r="U66" s="2136"/>
      <c r="V66" s="2136"/>
      <c r="W66" s="2136"/>
      <c r="X66" s="2136"/>
      <c r="Y66" s="2136"/>
      <c r="Z66" s="2178"/>
      <c r="AA66" s="2062"/>
    </row>
    <row r="67" spans="1:27">
      <c r="A67" s="2039"/>
      <c r="B67" s="2523"/>
      <c r="C67" s="2524"/>
      <c r="D67" s="2524"/>
      <c r="E67" s="2524"/>
      <c r="F67" s="2524"/>
      <c r="G67" s="2524"/>
      <c r="H67" s="2524"/>
      <c r="I67" s="2525"/>
      <c r="J67" s="2049"/>
      <c r="K67" s="2048"/>
      <c r="L67" s="2089">
        <v>410334.7</v>
      </c>
      <c r="M67" s="2085"/>
      <c r="N67" s="2058"/>
      <c r="O67" s="2058"/>
      <c r="P67" s="2087"/>
      <c r="Q67" s="2087"/>
      <c r="R67" s="2136"/>
      <c r="S67" s="2136"/>
      <c r="T67" s="2136"/>
      <c r="U67" s="2136"/>
      <c r="V67" s="2136"/>
      <c r="W67" s="2136"/>
      <c r="X67" s="2136"/>
      <c r="Y67" s="2136"/>
      <c r="Z67" s="2178" t="s">
        <v>154</v>
      </c>
      <c r="AA67" s="2062">
        <f>P61</f>
        <v>737691</v>
      </c>
    </row>
    <row r="68" spans="1:27">
      <c r="A68" s="2039"/>
      <c r="B68" s="2518"/>
      <c r="C68" s="2519"/>
      <c r="D68" s="2519"/>
      <c r="E68" s="2519"/>
      <c r="F68" s="2519"/>
      <c r="G68" s="2519"/>
      <c r="H68" s="2519"/>
      <c r="I68" s="2526"/>
      <c r="J68" s="2049"/>
      <c r="K68" s="2048"/>
      <c r="L68" s="2089"/>
      <c r="M68" s="2085"/>
      <c r="N68" s="2058"/>
      <c r="O68" s="2058"/>
      <c r="P68" s="2087"/>
      <c r="Q68" s="2087"/>
      <c r="R68" s="2184"/>
      <c r="S68" s="2184"/>
      <c r="T68" s="2184"/>
      <c r="U68" s="2184"/>
      <c r="V68" s="2184"/>
      <c r="W68" s="2184"/>
      <c r="X68" s="2184"/>
      <c r="Y68" s="2184"/>
      <c r="Z68" s="2178"/>
      <c r="AA68" s="2062"/>
    </row>
    <row r="69" spans="1:27">
      <c r="A69" s="2039"/>
      <c r="B69" s="2028" t="s">
        <v>394</v>
      </c>
      <c r="C69" s="2029"/>
      <c r="D69" s="2029"/>
      <c r="E69" s="2029"/>
      <c r="F69" s="2029"/>
      <c r="G69" s="2029"/>
      <c r="H69" s="2029"/>
      <c r="I69" s="2030"/>
      <c r="J69" s="2048"/>
      <c r="K69" s="2048"/>
      <c r="L69" s="2089"/>
      <c r="M69" s="2034" t="s">
        <v>123</v>
      </c>
      <c r="N69" s="2086">
        <f>SUM(P69:Y72)</f>
        <v>1715725</v>
      </c>
      <c r="O69" s="2058" t="s">
        <v>112</v>
      </c>
      <c r="P69" s="2087">
        <v>737691</v>
      </c>
      <c r="Q69" s="2087">
        <v>774321</v>
      </c>
      <c r="R69" s="2087">
        <v>203713</v>
      </c>
      <c r="S69" s="2087">
        <v>0</v>
      </c>
      <c r="T69" s="2087">
        <v>0</v>
      </c>
      <c r="U69" s="2087">
        <v>0</v>
      </c>
      <c r="V69" s="2087">
        <v>0</v>
      </c>
      <c r="W69" s="2087">
        <v>0</v>
      </c>
      <c r="X69" s="2087">
        <v>0</v>
      </c>
      <c r="Y69" s="2087">
        <v>0</v>
      </c>
      <c r="Z69" s="2178" t="s">
        <v>345</v>
      </c>
      <c r="AA69" s="2181">
        <f>Q61</f>
        <v>774321</v>
      </c>
    </row>
    <row r="70" spans="1:27">
      <c r="A70" s="2039"/>
      <c r="B70" s="2028"/>
      <c r="C70" s="2029"/>
      <c r="D70" s="2029"/>
      <c r="E70" s="2029"/>
      <c r="F70" s="2029"/>
      <c r="G70" s="2029"/>
      <c r="H70" s="2029"/>
      <c r="I70" s="2030"/>
      <c r="J70" s="2048"/>
      <c r="K70" s="2048"/>
      <c r="L70" s="2089"/>
      <c r="M70" s="2035"/>
      <c r="N70" s="2058"/>
      <c r="O70" s="2058"/>
      <c r="P70" s="2087"/>
      <c r="Q70" s="2087"/>
      <c r="R70" s="2087"/>
      <c r="S70" s="2087"/>
      <c r="T70" s="2087"/>
      <c r="U70" s="2087"/>
      <c r="V70" s="2087"/>
      <c r="W70" s="2087"/>
      <c r="X70" s="2087"/>
      <c r="Y70" s="2087"/>
      <c r="Z70" s="2178"/>
      <c r="AA70" s="2181"/>
    </row>
    <row r="71" spans="1:27">
      <c r="A71" s="2039"/>
      <c r="B71" s="2028"/>
      <c r="C71" s="2029"/>
      <c r="D71" s="2029"/>
      <c r="E71" s="2029"/>
      <c r="F71" s="2029"/>
      <c r="G71" s="2029"/>
      <c r="H71" s="2029"/>
      <c r="I71" s="2030"/>
      <c r="J71" s="2048"/>
      <c r="K71" s="2048"/>
      <c r="L71" s="2089"/>
      <c r="M71" s="2035"/>
      <c r="N71" s="2058"/>
      <c r="O71" s="2058"/>
      <c r="P71" s="2087"/>
      <c r="Q71" s="2087"/>
      <c r="R71" s="2087"/>
      <c r="S71" s="2087"/>
      <c r="T71" s="2087"/>
      <c r="U71" s="2087"/>
      <c r="V71" s="2087"/>
      <c r="W71" s="2087"/>
      <c r="X71" s="2087"/>
      <c r="Y71" s="2087"/>
      <c r="Z71" s="2179" t="s">
        <v>346</v>
      </c>
      <c r="AA71" s="2181">
        <f>R61</f>
        <v>203713</v>
      </c>
    </row>
    <row r="72" spans="1:27" ht="13.5" thickBot="1">
      <c r="A72" s="2040"/>
      <c r="B72" s="2031"/>
      <c r="C72" s="2032"/>
      <c r="D72" s="2032"/>
      <c r="E72" s="2032"/>
      <c r="F72" s="2032"/>
      <c r="G72" s="2032"/>
      <c r="H72" s="2032"/>
      <c r="I72" s="2033"/>
      <c r="J72" s="2050"/>
      <c r="K72" s="2050"/>
      <c r="L72" s="2090"/>
      <c r="M72" s="2036"/>
      <c r="N72" s="2091"/>
      <c r="O72" s="2091"/>
      <c r="P72" s="2088"/>
      <c r="Q72" s="2088"/>
      <c r="R72" s="2088"/>
      <c r="S72" s="2088"/>
      <c r="T72" s="2088"/>
      <c r="U72" s="2088"/>
      <c r="V72" s="2088"/>
      <c r="W72" s="2088"/>
      <c r="X72" s="2088"/>
      <c r="Y72" s="2088"/>
      <c r="Z72" s="2180"/>
      <c r="AA72" s="2182"/>
    </row>
    <row r="73" spans="1:27" ht="14.25" thickTop="1" thickBot="1">
      <c r="A73" s="1149"/>
      <c r="B73" s="1146"/>
      <c r="C73" s="1146"/>
      <c r="D73" s="1146"/>
      <c r="E73" s="1146"/>
      <c r="F73" s="1146"/>
      <c r="G73" s="1146"/>
      <c r="H73" s="1146"/>
      <c r="I73" s="1146"/>
      <c r="J73" s="1147"/>
      <c r="K73" s="1147"/>
      <c r="L73" s="662"/>
      <c r="M73" s="824"/>
      <c r="N73" s="638"/>
      <c r="O73" s="1147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1148"/>
      <c r="AA73" s="642"/>
    </row>
    <row r="74" spans="1:27" ht="13.5" thickTop="1">
      <c r="A74" s="2037">
        <v>3</v>
      </c>
      <c r="B74" s="2041" t="s">
        <v>101</v>
      </c>
      <c r="C74" s="2042"/>
      <c r="D74" s="2042">
        <v>801</v>
      </c>
      <c r="E74" s="2042"/>
      <c r="F74" s="2045" t="s">
        <v>141</v>
      </c>
      <c r="G74" s="2045"/>
      <c r="H74" s="2045"/>
      <c r="I74" s="2045"/>
      <c r="J74" s="2047">
        <v>2011</v>
      </c>
      <c r="K74" s="2047">
        <v>2013</v>
      </c>
      <c r="L74" s="2051">
        <v>594085</v>
      </c>
      <c r="M74" s="2053" t="s">
        <v>120</v>
      </c>
      <c r="N74" s="2055">
        <f>SUM(N78:N85)</f>
        <v>83251</v>
      </c>
      <c r="O74" s="2057" t="s">
        <v>112</v>
      </c>
      <c r="P74" s="2059">
        <f>SUM(P78:P85)</f>
        <v>83251</v>
      </c>
      <c r="Q74" s="2059">
        <f>SUM(Q78:Q85)</f>
        <v>0</v>
      </c>
      <c r="R74" s="2059">
        <f>SUM(R78:R85)</f>
        <v>0</v>
      </c>
      <c r="S74" s="2059">
        <f t="shared" ref="S74:Y74" si="4">SUM(S78:S85)</f>
        <v>0</v>
      </c>
      <c r="T74" s="2059">
        <f t="shared" si="4"/>
        <v>0</v>
      </c>
      <c r="U74" s="2059">
        <f t="shared" si="4"/>
        <v>0</v>
      </c>
      <c r="V74" s="2059">
        <f t="shared" si="4"/>
        <v>0</v>
      </c>
      <c r="W74" s="2059">
        <f t="shared" si="4"/>
        <v>0</v>
      </c>
      <c r="X74" s="2059">
        <f t="shared" si="4"/>
        <v>0</v>
      </c>
      <c r="Y74" s="2059">
        <f t="shared" si="4"/>
        <v>0</v>
      </c>
      <c r="Z74" s="2066">
        <f>SUM(AA78:AA85)</f>
        <v>83251</v>
      </c>
      <c r="AA74" s="2067"/>
    </row>
    <row r="75" spans="1:27">
      <c r="A75" s="2038"/>
      <c r="B75" s="2043"/>
      <c r="C75" s="2044"/>
      <c r="D75" s="2044"/>
      <c r="E75" s="2044"/>
      <c r="F75" s="2046"/>
      <c r="G75" s="2046"/>
      <c r="H75" s="2046"/>
      <c r="I75" s="2046"/>
      <c r="J75" s="2048"/>
      <c r="K75" s="2048"/>
      <c r="L75" s="2052"/>
      <c r="M75" s="2054"/>
      <c r="N75" s="2056"/>
      <c r="O75" s="2058"/>
      <c r="P75" s="2060"/>
      <c r="Q75" s="2060"/>
      <c r="R75" s="2060"/>
      <c r="S75" s="2060"/>
      <c r="T75" s="2060"/>
      <c r="U75" s="2060"/>
      <c r="V75" s="2060"/>
      <c r="W75" s="2060"/>
      <c r="X75" s="2060"/>
      <c r="Y75" s="2060"/>
      <c r="Z75" s="2068"/>
      <c r="AA75" s="2069"/>
    </row>
    <row r="76" spans="1:27">
      <c r="A76" s="2038"/>
      <c r="B76" s="2072" t="s">
        <v>107</v>
      </c>
      <c r="C76" s="2058"/>
      <c r="D76" s="2058">
        <v>80195</v>
      </c>
      <c r="E76" s="2058"/>
      <c r="F76" s="2046" t="s">
        <v>130</v>
      </c>
      <c r="G76" s="2046"/>
      <c r="H76" s="2046"/>
      <c r="I76" s="2046"/>
      <c r="J76" s="2048"/>
      <c r="K76" s="2048"/>
      <c r="L76" s="2052"/>
      <c r="M76" s="2054"/>
      <c r="N76" s="2056"/>
      <c r="O76" s="2058"/>
      <c r="P76" s="2060"/>
      <c r="Q76" s="2060"/>
      <c r="R76" s="2060"/>
      <c r="S76" s="2060"/>
      <c r="T76" s="2060"/>
      <c r="U76" s="2060"/>
      <c r="V76" s="2060"/>
      <c r="W76" s="2060"/>
      <c r="X76" s="2060"/>
      <c r="Y76" s="2060"/>
      <c r="Z76" s="2068"/>
      <c r="AA76" s="2069"/>
    </row>
    <row r="77" spans="1:27">
      <c r="A77" s="2038"/>
      <c r="B77" s="2073"/>
      <c r="C77" s="2074"/>
      <c r="D77" s="2074"/>
      <c r="E77" s="2074"/>
      <c r="F77" s="2075"/>
      <c r="G77" s="2075"/>
      <c r="H77" s="2075"/>
      <c r="I77" s="2075"/>
      <c r="J77" s="2048"/>
      <c r="K77" s="2048"/>
      <c r="L77" s="2052"/>
      <c r="M77" s="2054"/>
      <c r="N77" s="2056"/>
      <c r="O77" s="2058"/>
      <c r="P77" s="2060"/>
      <c r="Q77" s="2060"/>
      <c r="R77" s="2060"/>
      <c r="S77" s="2060"/>
      <c r="T77" s="2060"/>
      <c r="U77" s="2060"/>
      <c r="V77" s="2060"/>
      <c r="W77" s="2060"/>
      <c r="X77" s="2060"/>
      <c r="Y77" s="2060"/>
      <c r="Z77" s="2070"/>
      <c r="AA77" s="2071"/>
    </row>
    <row r="78" spans="1:27">
      <c r="A78" s="2039"/>
      <c r="B78" s="2514" t="s">
        <v>160</v>
      </c>
      <c r="C78" s="2515"/>
      <c r="D78" s="2515"/>
      <c r="E78" s="2515"/>
      <c r="F78" s="2515"/>
      <c r="G78" s="2515"/>
      <c r="H78" s="2515"/>
      <c r="I78" s="2522"/>
      <c r="J78" s="2049"/>
      <c r="K78" s="2048"/>
      <c r="L78" s="2052"/>
      <c r="M78" s="2085" t="s">
        <v>143</v>
      </c>
      <c r="N78" s="2086">
        <f>SUM(P78:Y81)</f>
        <v>70763</v>
      </c>
      <c r="O78" s="2058" t="s">
        <v>112</v>
      </c>
      <c r="P78" s="2135">
        <v>70763</v>
      </c>
      <c r="Q78" s="2087">
        <v>0</v>
      </c>
      <c r="R78" s="2087">
        <v>0</v>
      </c>
      <c r="S78" s="2087">
        <v>0</v>
      </c>
      <c r="T78" s="2087">
        <v>0</v>
      </c>
      <c r="U78" s="2087">
        <v>0</v>
      </c>
      <c r="V78" s="2087">
        <v>0</v>
      </c>
      <c r="W78" s="2087">
        <v>0</v>
      </c>
      <c r="X78" s="2087">
        <v>0</v>
      </c>
      <c r="Y78" s="2087">
        <v>0</v>
      </c>
      <c r="Z78" s="2183"/>
      <c r="AA78" s="2093"/>
    </row>
    <row r="79" spans="1:27">
      <c r="A79" s="2039"/>
      <c r="B79" s="2523"/>
      <c r="C79" s="2524"/>
      <c r="D79" s="2524"/>
      <c r="E79" s="2524"/>
      <c r="F79" s="2524"/>
      <c r="G79" s="2524"/>
      <c r="H79" s="2524"/>
      <c r="I79" s="2525"/>
      <c r="J79" s="2049"/>
      <c r="K79" s="2048"/>
      <c r="L79" s="2052"/>
      <c r="M79" s="2085"/>
      <c r="N79" s="2058"/>
      <c r="O79" s="2058"/>
      <c r="P79" s="2136"/>
      <c r="Q79" s="2087"/>
      <c r="R79" s="2087"/>
      <c r="S79" s="2087"/>
      <c r="T79" s="2087"/>
      <c r="U79" s="2087"/>
      <c r="V79" s="2087"/>
      <c r="W79" s="2087"/>
      <c r="X79" s="2087"/>
      <c r="Y79" s="2087"/>
      <c r="Z79" s="2178"/>
      <c r="AA79" s="2062"/>
    </row>
    <row r="80" spans="1:27">
      <c r="A80" s="2039"/>
      <c r="B80" s="2523"/>
      <c r="C80" s="2524"/>
      <c r="D80" s="2524"/>
      <c r="E80" s="2524"/>
      <c r="F80" s="2524"/>
      <c r="G80" s="2524"/>
      <c r="H80" s="2524"/>
      <c r="I80" s="2525"/>
      <c r="J80" s="2049"/>
      <c r="K80" s="2048"/>
      <c r="L80" s="2089">
        <v>510834</v>
      </c>
      <c r="M80" s="2085"/>
      <c r="N80" s="2058"/>
      <c r="O80" s="2058"/>
      <c r="P80" s="2136"/>
      <c r="Q80" s="2087"/>
      <c r="R80" s="2087"/>
      <c r="S80" s="2087"/>
      <c r="T80" s="2087"/>
      <c r="U80" s="2087"/>
      <c r="V80" s="2087"/>
      <c r="W80" s="2087"/>
      <c r="X80" s="2087"/>
      <c r="Y80" s="2087"/>
      <c r="Z80" s="2178" t="s">
        <v>154</v>
      </c>
      <c r="AA80" s="2062">
        <f>P74</f>
        <v>83251</v>
      </c>
    </row>
    <row r="81" spans="1:27">
      <c r="A81" s="2039"/>
      <c r="B81" s="2518"/>
      <c r="C81" s="2519"/>
      <c r="D81" s="2519"/>
      <c r="E81" s="2519"/>
      <c r="F81" s="2519"/>
      <c r="G81" s="2519"/>
      <c r="H81" s="2519"/>
      <c r="I81" s="2526"/>
      <c r="J81" s="2049"/>
      <c r="K81" s="2048"/>
      <c r="L81" s="2089"/>
      <c r="M81" s="2085"/>
      <c r="N81" s="2058"/>
      <c r="O81" s="2058"/>
      <c r="P81" s="2184"/>
      <c r="Q81" s="2087"/>
      <c r="R81" s="2087"/>
      <c r="S81" s="2087"/>
      <c r="T81" s="2087"/>
      <c r="U81" s="2087"/>
      <c r="V81" s="2087"/>
      <c r="W81" s="2087"/>
      <c r="X81" s="2087"/>
      <c r="Y81" s="2087"/>
      <c r="Z81" s="2178"/>
      <c r="AA81" s="2062"/>
    </row>
    <row r="82" spans="1:27">
      <c r="A82" s="2039"/>
      <c r="B82" s="2028" t="s">
        <v>161</v>
      </c>
      <c r="C82" s="2029"/>
      <c r="D82" s="2029"/>
      <c r="E82" s="2029"/>
      <c r="F82" s="2029"/>
      <c r="G82" s="2029"/>
      <c r="H82" s="2029"/>
      <c r="I82" s="2030"/>
      <c r="J82" s="2048"/>
      <c r="K82" s="2048"/>
      <c r="L82" s="2089"/>
      <c r="M82" s="2034" t="s">
        <v>369</v>
      </c>
      <c r="N82" s="2086">
        <f>SUM(P82:Y85)</f>
        <v>12488</v>
      </c>
      <c r="O82" s="2058" t="s">
        <v>112</v>
      </c>
      <c r="P82" s="2135">
        <v>12488</v>
      </c>
      <c r="Q82" s="2087">
        <v>0</v>
      </c>
      <c r="R82" s="2087">
        <v>0</v>
      </c>
      <c r="S82" s="2087">
        <v>0</v>
      </c>
      <c r="T82" s="2087">
        <v>0</v>
      </c>
      <c r="U82" s="2087">
        <v>0</v>
      </c>
      <c r="V82" s="2087">
        <v>0</v>
      </c>
      <c r="W82" s="2087">
        <v>0</v>
      </c>
      <c r="X82" s="2087">
        <v>0</v>
      </c>
      <c r="Y82" s="2087">
        <v>0</v>
      </c>
      <c r="Z82" s="2178"/>
      <c r="AA82" s="2181"/>
    </row>
    <row r="83" spans="1:27">
      <c r="A83" s="2039"/>
      <c r="B83" s="2028"/>
      <c r="C83" s="2029"/>
      <c r="D83" s="2029"/>
      <c r="E83" s="2029"/>
      <c r="F83" s="2029"/>
      <c r="G83" s="2029"/>
      <c r="H83" s="2029"/>
      <c r="I83" s="2030"/>
      <c r="J83" s="2048"/>
      <c r="K83" s="2048"/>
      <c r="L83" s="2089"/>
      <c r="M83" s="2035"/>
      <c r="N83" s="2058"/>
      <c r="O83" s="2058"/>
      <c r="P83" s="2136"/>
      <c r="Q83" s="2087"/>
      <c r="R83" s="2087"/>
      <c r="S83" s="2087"/>
      <c r="T83" s="2087"/>
      <c r="U83" s="2087"/>
      <c r="V83" s="2087"/>
      <c r="W83" s="2087"/>
      <c r="X83" s="2087"/>
      <c r="Y83" s="2087"/>
      <c r="Z83" s="2178"/>
      <c r="AA83" s="2181"/>
    </row>
    <row r="84" spans="1:27">
      <c r="A84" s="2039"/>
      <c r="B84" s="2028"/>
      <c r="C84" s="2029"/>
      <c r="D84" s="2029"/>
      <c r="E84" s="2029"/>
      <c r="F84" s="2029"/>
      <c r="G84" s="2029"/>
      <c r="H84" s="2029"/>
      <c r="I84" s="2030"/>
      <c r="J84" s="2048"/>
      <c r="K84" s="2048"/>
      <c r="L84" s="2089"/>
      <c r="M84" s="2035"/>
      <c r="N84" s="2058"/>
      <c r="O84" s="2058"/>
      <c r="P84" s="2136"/>
      <c r="Q84" s="2087"/>
      <c r="R84" s="2087"/>
      <c r="S84" s="2087"/>
      <c r="T84" s="2087"/>
      <c r="U84" s="2087"/>
      <c r="V84" s="2087"/>
      <c r="W84" s="2087"/>
      <c r="X84" s="2087"/>
      <c r="Y84" s="2087"/>
      <c r="Z84" s="2179"/>
      <c r="AA84" s="2181"/>
    </row>
    <row r="85" spans="1:27" ht="13.5" thickBot="1">
      <c r="A85" s="2040"/>
      <c r="B85" s="2031"/>
      <c r="C85" s="2032"/>
      <c r="D85" s="2032"/>
      <c r="E85" s="2032"/>
      <c r="F85" s="2032"/>
      <c r="G85" s="2032"/>
      <c r="H85" s="2032"/>
      <c r="I85" s="2033"/>
      <c r="J85" s="2050"/>
      <c r="K85" s="2050"/>
      <c r="L85" s="2090"/>
      <c r="M85" s="2036"/>
      <c r="N85" s="2091"/>
      <c r="O85" s="2091"/>
      <c r="P85" s="2137"/>
      <c r="Q85" s="2088"/>
      <c r="R85" s="2088"/>
      <c r="S85" s="2088"/>
      <c r="T85" s="2088"/>
      <c r="U85" s="2088"/>
      <c r="V85" s="2088"/>
      <c r="W85" s="2088"/>
      <c r="X85" s="2088"/>
      <c r="Y85" s="2088"/>
      <c r="Z85" s="2180"/>
      <c r="AA85" s="2182"/>
    </row>
    <row r="86" spans="1:27" ht="14.25" thickTop="1" thickBot="1">
      <c r="A86" s="1149"/>
      <c r="B86" s="1146"/>
      <c r="C86" s="1146"/>
      <c r="D86" s="1146"/>
      <c r="E86" s="1146"/>
      <c r="F86" s="1146"/>
      <c r="G86" s="1146"/>
      <c r="H86" s="1146"/>
      <c r="I86" s="1146"/>
      <c r="J86" s="1147"/>
      <c r="K86" s="1147"/>
      <c r="L86" s="662"/>
      <c r="M86" s="824"/>
      <c r="N86" s="1147"/>
      <c r="O86" s="1147"/>
      <c r="P86" s="656"/>
      <c r="Q86" s="656"/>
      <c r="R86" s="656"/>
      <c r="S86" s="656"/>
      <c r="T86" s="656"/>
      <c r="U86" s="656"/>
      <c r="V86" s="656"/>
      <c r="W86" s="656"/>
      <c r="X86" s="656"/>
      <c r="Y86" s="656"/>
      <c r="Z86" s="638"/>
      <c r="AA86" s="637"/>
    </row>
    <row r="87" spans="1:27" ht="13.5" thickTop="1">
      <c r="A87" s="2037">
        <v>4</v>
      </c>
      <c r="B87" s="2041" t="s">
        <v>101</v>
      </c>
      <c r="C87" s="2042"/>
      <c r="D87" s="2042">
        <v>801</v>
      </c>
      <c r="E87" s="2042"/>
      <c r="F87" s="2045" t="s">
        <v>141</v>
      </c>
      <c r="G87" s="2045"/>
      <c r="H87" s="2045"/>
      <c r="I87" s="2045"/>
      <c r="J87" s="2047">
        <v>2012</v>
      </c>
      <c r="K87" s="2047">
        <v>2013</v>
      </c>
      <c r="L87" s="2051">
        <v>621825</v>
      </c>
      <c r="M87" s="2053" t="s">
        <v>120</v>
      </c>
      <c r="N87" s="2055">
        <f>SUM(N91:N98)</f>
        <v>560665</v>
      </c>
      <c r="O87" s="2057" t="s">
        <v>112</v>
      </c>
      <c r="P87" s="2059">
        <f>SUM(P91:P98)</f>
        <v>342186</v>
      </c>
      <c r="Q87" s="2059">
        <f>SUM(Q91:Q98)</f>
        <v>218479</v>
      </c>
      <c r="R87" s="2059">
        <f>SUM(R91:R98)</f>
        <v>0</v>
      </c>
      <c r="S87" s="2059">
        <f t="shared" ref="S87:Y87" si="5">SUM(S91:S98)</f>
        <v>0</v>
      </c>
      <c r="T87" s="2059">
        <f t="shared" si="5"/>
        <v>0</v>
      </c>
      <c r="U87" s="2059">
        <f t="shared" si="5"/>
        <v>0</v>
      </c>
      <c r="V87" s="2059">
        <f t="shared" si="5"/>
        <v>0</v>
      </c>
      <c r="W87" s="2059">
        <f t="shared" si="5"/>
        <v>0</v>
      </c>
      <c r="X87" s="2059">
        <f t="shared" si="5"/>
        <v>0</v>
      </c>
      <c r="Y87" s="2059">
        <f t="shared" si="5"/>
        <v>0</v>
      </c>
      <c r="Z87" s="2066">
        <f>SUM(AA91:AA98)</f>
        <v>560665</v>
      </c>
      <c r="AA87" s="2067"/>
    </row>
    <row r="88" spans="1:27">
      <c r="A88" s="2038"/>
      <c r="B88" s="2043"/>
      <c r="C88" s="2044"/>
      <c r="D88" s="2044"/>
      <c r="E88" s="2044"/>
      <c r="F88" s="2046"/>
      <c r="G88" s="2046"/>
      <c r="H88" s="2046"/>
      <c r="I88" s="2046"/>
      <c r="J88" s="2048"/>
      <c r="K88" s="2048"/>
      <c r="L88" s="2052"/>
      <c r="M88" s="2054"/>
      <c r="N88" s="2056"/>
      <c r="O88" s="2058"/>
      <c r="P88" s="2060"/>
      <c r="Q88" s="2060"/>
      <c r="R88" s="2060"/>
      <c r="S88" s="2060"/>
      <c r="T88" s="2060"/>
      <c r="U88" s="2060"/>
      <c r="V88" s="2060"/>
      <c r="W88" s="2060"/>
      <c r="X88" s="2060"/>
      <c r="Y88" s="2060"/>
      <c r="Z88" s="2068"/>
      <c r="AA88" s="2069"/>
    </row>
    <row r="89" spans="1:27">
      <c r="A89" s="2038"/>
      <c r="B89" s="2072" t="s">
        <v>107</v>
      </c>
      <c r="C89" s="2058"/>
      <c r="D89" s="2058">
        <v>80195</v>
      </c>
      <c r="E89" s="2058"/>
      <c r="F89" s="2046" t="s">
        <v>130</v>
      </c>
      <c r="G89" s="2046"/>
      <c r="H89" s="2046"/>
      <c r="I89" s="2046"/>
      <c r="J89" s="2048"/>
      <c r="K89" s="2048"/>
      <c r="L89" s="2052"/>
      <c r="M89" s="2054"/>
      <c r="N89" s="2056"/>
      <c r="O89" s="2058"/>
      <c r="P89" s="2060"/>
      <c r="Q89" s="2060"/>
      <c r="R89" s="2060"/>
      <c r="S89" s="2060"/>
      <c r="T89" s="2060"/>
      <c r="U89" s="2060"/>
      <c r="V89" s="2060"/>
      <c r="W89" s="2060"/>
      <c r="X89" s="2060"/>
      <c r="Y89" s="2060"/>
      <c r="Z89" s="2068"/>
      <c r="AA89" s="2069"/>
    </row>
    <row r="90" spans="1:27">
      <c r="A90" s="2038"/>
      <c r="B90" s="2073"/>
      <c r="C90" s="2074"/>
      <c r="D90" s="2074"/>
      <c r="E90" s="2074"/>
      <c r="F90" s="2075"/>
      <c r="G90" s="2075"/>
      <c r="H90" s="2075"/>
      <c r="I90" s="2075"/>
      <c r="J90" s="2048"/>
      <c r="K90" s="2048"/>
      <c r="L90" s="2052"/>
      <c r="M90" s="2054"/>
      <c r="N90" s="2056"/>
      <c r="O90" s="2058"/>
      <c r="P90" s="2060"/>
      <c r="Q90" s="2060"/>
      <c r="R90" s="2060"/>
      <c r="S90" s="2060"/>
      <c r="T90" s="2060"/>
      <c r="U90" s="2060"/>
      <c r="V90" s="2060"/>
      <c r="W90" s="2060"/>
      <c r="X90" s="2060"/>
      <c r="Y90" s="2060"/>
      <c r="Z90" s="2070"/>
      <c r="AA90" s="2071"/>
    </row>
    <row r="91" spans="1:27">
      <c r="A91" s="2039"/>
      <c r="B91" s="2514" t="s">
        <v>163</v>
      </c>
      <c r="C91" s="2515"/>
      <c r="D91" s="2515"/>
      <c r="E91" s="2515"/>
      <c r="F91" s="2515"/>
      <c r="G91" s="2515"/>
      <c r="H91" s="2515"/>
      <c r="I91" s="2522"/>
      <c r="J91" s="2049"/>
      <c r="K91" s="2048"/>
      <c r="L91" s="2052"/>
      <c r="M91" s="2085" t="s">
        <v>143</v>
      </c>
      <c r="N91" s="2086">
        <f>SUM(P91:Y94)</f>
        <v>464238</v>
      </c>
      <c r="O91" s="2058" t="s">
        <v>112</v>
      </c>
      <c r="P91" s="2135">
        <v>291069</v>
      </c>
      <c r="Q91" s="2087">
        <v>173169</v>
      </c>
      <c r="R91" s="2087">
        <v>0</v>
      </c>
      <c r="S91" s="2087">
        <v>0</v>
      </c>
      <c r="T91" s="2087">
        <v>0</v>
      </c>
      <c r="U91" s="2087">
        <v>0</v>
      </c>
      <c r="V91" s="2087">
        <v>0</v>
      </c>
      <c r="W91" s="2087">
        <v>0</v>
      </c>
      <c r="X91" s="2087">
        <v>0</v>
      </c>
      <c r="Y91" s="2087">
        <v>0</v>
      </c>
      <c r="Z91" s="2183"/>
      <c r="AA91" s="2093"/>
    </row>
    <row r="92" spans="1:27">
      <c r="A92" s="2039"/>
      <c r="B92" s="2523"/>
      <c r="C92" s="2524"/>
      <c r="D92" s="2524"/>
      <c r="E92" s="2524"/>
      <c r="F92" s="2524"/>
      <c r="G92" s="2524"/>
      <c r="H92" s="2524"/>
      <c r="I92" s="2525"/>
      <c r="J92" s="2049"/>
      <c r="K92" s="2048"/>
      <c r="L92" s="2052"/>
      <c r="M92" s="2085"/>
      <c r="N92" s="2058"/>
      <c r="O92" s="2058"/>
      <c r="P92" s="2136"/>
      <c r="Q92" s="2087"/>
      <c r="R92" s="2087"/>
      <c r="S92" s="2087"/>
      <c r="T92" s="2087"/>
      <c r="U92" s="2087"/>
      <c r="V92" s="2087"/>
      <c r="W92" s="2087"/>
      <c r="X92" s="2087"/>
      <c r="Y92" s="2087"/>
      <c r="Z92" s="2178"/>
      <c r="AA92" s="2062"/>
    </row>
    <row r="93" spans="1:27">
      <c r="A93" s="2039"/>
      <c r="B93" s="2523"/>
      <c r="C93" s="2524"/>
      <c r="D93" s="2524"/>
      <c r="E93" s="2524"/>
      <c r="F93" s="2524"/>
      <c r="G93" s="2524"/>
      <c r="H93" s="2524"/>
      <c r="I93" s="2525"/>
      <c r="J93" s="2049"/>
      <c r="K93" s="2048"/>
      <c r="L93" s="2089">
        <v>61160</v>
      </c>
      <c r="M93" s="2085"/>
      <c r="N93" s="2058"/>
      <c r="O93" s="2058"/>
      <c r="P93" s="2136"/>
      <c r="Q93" s="2087"/>
      <c r="R93" s="2087"/>
      <c r="S93" s="2087"/>
      <c r="T93" s="2087"/>
      <c r="U93" s="2087"/>
      <c r="V93" s="2087"/>
      <c r="W93" s="2087"/>
      <c r="X93" s="2087"/>
      <c r="Y93" s="2087"/>
      <c r="Z93" s="2178" t="s">
        <v>154</v>
      </c>
      <c r="AA93" s="2062">
        <f>P87</f>
        <v>342186</v>
      </c>
    </row>
    <row r="94" spans="1:27">
      <c r="A94" s="2039"/>
      <c r="B94" s="2518"/>
      <c r="C94" s="2519"/>
      <c r="D94" s="2519"/>
      <c r="E94" s="2519"/>
      <c r="F94" s="2519"/>
      <c r="G94" s="2519"/>
      <c r="H94" s="2519"/>
      <c r="I94" s="2526"/>
      <c r="J94" s="2049"/>
      <c r="K94" s="2048"/>
      <c r="L94" s="2089"/>
      <c r="M94" s="2085"/>
      <c r="N94" s="2058"/>
      <c r="O94" s="2058"/>
      <c r="P94" s="2184"/>
      <c r="Q94" s="2087"/>
      <c r="R94" s="2087"/>
      <c r="S94" s="2087"/>
      <c r="T94" s="2087"/>
      <c r="U94" s="2087"/>
      <c r="V94" s="2087"/>
      <c r="W94" s="2087"/>
      <c r="X94" s="2087"/>
      <c r="Y94" s="2087"/>
      <c r="Z94" s="2178"/>
      <c r="AA94" s="2062"/>
    </row>
    <row r="95" spans="1:27">
      <c r="A95" s="2039"/>
      <c r="B95" s="2028" t="s">
        <v>161</v>
      </c>
      <c r="C95" s="2029"/>
      <c r="D95" s="2029"/>
      <c r="E95" s="2029"/>
      <c r="F95" s="2029"/>
      <c r="G95" s="2029"/>
      <c r="H95" s="2029"/>
      <c r="I95" s="2030"/>
      <c r="J95" s="2048"/>
      <c r="K95" s="2048"/>
      <c r="L95" s="2089"/>
      <c r="M95" s="2034" t="s">
        <v>370</v>
      </c>
      <c r="N95" s="2086">
        <f>SUM(P95:Y98)</f>
        <v>96427</v>
      </c>
      <c r="O95" s="2058" t="s">
        <v>112</v>
      </c>
      <c r="P95" s="2087">
        <v>51117</v>
      </c>
      <c r="Q95" s="2087">
        <v>45310</v>
      </c>
      <c r="R95" s="2087">
        <v>0</v>
      </c>
      <c r="S95" s="2087">
        <v>0</v>
      </c>
      <c r="T95" s="2087">
        <v>0</v>
      </c>
      <c r="U95" s="2087">
        <v>0</v>
      </c>
      <c r="V95" s="2087">
        <v>0</v>
      </c>
      <c r="W95" s="2087">
        <v>0</v>
      </c>
      <c r="X95" s="2087">
        <v>0</v>
      </c>
      <c r="Y95" s="2087">
        <v>0</v>
      </c>
      <c r="Z95" s="2178" t="s">
        <v>402</v>
      </c>
      <c r="AA95" s="2062">
        <f>Q87</f>
        <v>218479</v>
      </c>
    </row>
    <row r="96" spans="1:27">
      <c r="A96" s="2039"/>
      <c r="B96" s="2028"/>
      <c r="C96" s="2029"/>
      <c r="D96" s="2029"/>
      <c r="E96" s="2029"/>
      <c r="F96" s="2029"/>
      <c r="G96" s="2029"/>
      <c r="H96" s="2029"/>
      <c r="I96" s="2030"/>
      <c r="J96" s="2048"/>
      <c r="K96" s="2048"/>
      <c r="L96" s="2089"/>
      <c r="M96" s="2035"/>
      <c r="N96" s="2058"/>
      <c r="O96" s="2058"/>
      <c r="P96" s="2087"/>
      <c r="Q96" s="2087"/>
      <c r="R96" s="2087"/>
      <c r="S96" s="2087"/>
      <c r="T96" s="2087"/>
      <c r="U96" s="2087"/>
      <c r="V96" s="2087"/>
      <c r="W96" s="2087"/>
      <c r="X96" s="2087"/>
      <c r="Y96" s="2087"/>
      <c r="Z96" s="2178"/>
      <c r="AA96" s="2062"/>
    </row>
    <row r="97" spans="1:27">
      <c r="A97" s="2039"/>
      <c r="B97" s="2028"/>
      <c r="C97" s="2029"/>
      <c r="D97" s="2029"/>
      <c r="E97" s="2029"/>
      <c r="F97" s="2029"/>
      <c r="G97" s="2029"/>
      <c r="H97" s="2029"/>
      <c r="I97" s="2030"/>
      <c r="J97" s="2048"/>
      <c r="K97" s="2048"/>
      <c r="L97" s="2089"/>
      <c r="M97" s="2035"/>
      <c r="N97" s="2058"/>
      <c r="O97" s="2058"/>
      <c r="P97" s="2087"/>
      <c r="Q97" s="2087"/>
      <c r="R97" s="2087"/>
      <c r="S97" s="2087"/>
      <c r="T97" s="2087"/>
      <c r="U97" s="2087"/>
      <c r="V97" s="2087"/>
      <c r="W97" s="2087"/>
      <c r="X97" s="2087"/>
      <c r="Y97" s="2087"/>
      <c r="Z97" s="2179"/>
      <c r="AA97" s="2181"/>
    </row>
    <row r="98" spans="1:27" ht="13.5" thickBot="1">
      <c r="A98" s="2040"/>
      <c r="B98" s="2031"/>
      <c r="C98" s="2032"/>
      <c r="D98" s="2032"/>
      <c r="E98" s="2032"/>
      <c r="F98" s="2032"/>
      <c r="G98" s="2032"/>
      <c r="H98" s="2032"/>
      <c r="I98" s="2033"/>
      <c r="J98" s="2050"/>
      <c r="K98" s="2050"/>
      <c r="L98" s="2090"/>
      <c r="M98" s="2036"/>
      <c r="N98" s="2091"/>
      <c r="O98" s="2091"/>
      <c r="P98" s="2088"/>
      <c r="Q98" s="2088"/>
      <c r="R98" s="2088"/>
      <c r="S98" s="2088"/>
      <c r="T98" s="2088"/>
      <c r="U98" s="2088"/>
      <c r="V98" s="2088"/>
      <c r="W98" s="2088"/>
      <c r="X98" s="2088"/>
      <c r="Y98" s="2088"/>
      <c r="Z98" s="2180"/>
      <c r="AA98" s="2182"/>
    </row>
    <row r="99" spans="1:27" ht="14.25" thickTop="1" thickBot="1">
      <c r="A99" s="1149"/>
      <c r="B99" s="1146"/>
      <c r="C99" s="1146"/>
      <c r="D99" s="1146"/>
      <c r="E99" s="1146"/>
      <c r="F99" s="1146"/>
      <c r="G99" s="1146"/>
      <c r="H99" s="1146"/>
      <c r="I99" s="1146"/>
      <c r="J99" s="1147"/>
      <c r="K99" s="1147"/>
      <c r="L99" s="662"/>
      <c r="M99" s="824"/>
      <c r="N99" s="1147"/>
      <c r="O99" s="1147"/>
      <c r="P99" s="656"/>
      <c r="Q99" s="656"/>
      <c r="R99" s="656"/>
      <c r="S99" s="656"/>
      <c r="T99" s="656"/>
      <c r="U99" s="656"/>
      <c r="V99" s="656"/>
      <c r="W99" s="656"/>
      <c r="X99" s="656"/>
      <c r="Y99" s="656"/>
      <c r="Z99" s="638"/>
      <c r="AA99" s="637"/>
    </row>
    <row r="100" spans="1:27" ht="13.5" thickTop="1">
      <c r="A100" s="2037">
        <v>5</v>
      </c>
      <c r="B100" s="2041" t="s">
        <v>101</v>
      </c>
      <c r="C100" s="2042"/>
      <c r="D100" s="2535" t="s">
        <v>165</v>
      </c>
      <c r="E100" s="2536"/>
      <c r="F100" s="2536"/>
      <c r="G100" s="2536"/>
      <c r="H100" s="2536"/>
      <c r="I100" s="2537"/>
      <c r="J100" s="2047">
        <v>2012</v>
      </c>
      <c r="K100" s="2047">
        <v>2013</v>
      </c>
      <c r="L100" s="2051">
        <f>SUM(N100,L106)</f>
        <v>5243853</v>
      </c>
      <c r="M100" s="2053" t="s">
        <v>120</v>
      </c>
      <c r="N100" s="2055">
        <f>SUM(N104:N111)</f>
        <v>2724870</v>
      </c>
      <c r="O100" s="2057" t="s">
        <v>112</v>
      </c>
      <c r="P100" s="2059">
        <f>SUM(P104:P111)</f>
        <v>2724870</v>
      </c>
      <c r="Q100" s="2059">
        <f>SUM(Q104:Q111)</f>
        <v>0</v>
      </c>
      <c r="R100" s="2059">
        <f>SUM(R104:R111)</f>
        <v>0</v>
      </c>
      <c r="S100" s="2059">
        <f t="shared" ref="S100:Y100" si="6">SUM(S104:S111)</f>
        <v>0</v>
      </c>
      <c r="T100" s="2059">
        <f t="shared" si="6"/>
        <v>0</v>
      </c>
      <c r="U100" s="2059">
        <f t="shared" si="6"/>
        <v>0</v>
      </c>
      <c r="V100" s="2059">
        <f t="shared" si="6"/>
        <v>0</v>
      </c>
      <c r="W100" s="2059">
        <f t="shared" si="6"/>
        <v>0</v>
      </c>
      <c r="X100" s="2059">
        <f t="shared" si="6"/>
        <v>0</v>
      </c>
      <c r="Y100" s="2059">
        <f t="shared" si="6"/>
        <v>0</v>
      </c>
      <c r="Z100" s="2066">
        <f>SUM(AA104:AA111)</f>
        <v>2724870</v>
      </c>
      <c r="AA100" s="2067"/>
    </row>
    <row r="101" spans="1:27">
      <c r="A101" s="2038"/>
      <c r="B101" s="2043"/>
      <c r="C101" s="2044"/>
      <c r="D101" s="2538"/>
      <c r="E101" s="2539"/>
      <c r="F101" s="2539"/>
      <c r="G101" s="2539"/>
      <c r="H101" s="2539"/>
      <c r="I101" s="2049"/>
      <c r="J101" s="2048"/>
      <c r="K101" s="2048"/>
      <c r="L101" s="2052"/>
      <c r="M101" s="2054"/>
      <c r="N101" s="2056"/>
      <c r="O101" s="2058"/>
      <c r="P101" s="2060"/>
      <c r="Q101" s="2060"/>
      <c r="R101" s="2060"/>
      <c r="S101" s="2060"/>
      <c r="T101" s="2060"/>
      <c r="U101" s="2060"/>
      <c r="V101" s="2060"/>
      <c r="W101" s="2060"/>
      <c r="X101" s="2060"/>
      <c r="Y101" s="2060"/>
      <c r="Z101" s="2068"/>
      <c r="AA101" s="2069"/>
    </row>
    <row r="102" spans="1:27">
      <c r="A102" s="2038"/>
      <c r="B102" s="2072" t="s">
        <v>107</v>
      </c>
      <c r="C102" s="2058"/>
      <c r="D102" s="2538"/>
      <c r="E102" s="2539"/>
      <c r="F102" s="2539"/>
      <c r="G102" s="2539"/>
      <c r="H102" s="2539"/>
      <c r="I102" s="2049"/>
      <c r="J102" s="2048"/>
      <c r="K102" s="2048"/>
      <c r="L102" s="2052"/>
      <c r="M102" s="2054"/>
      <c r="N102" s="2056"/>
      <c r="O102" s="2058"/>
      <c r="P102" s="2060"/>
      <c r="Q102" s="2060"/>
      <c r="R102" s="2060"/>
      <c r="S102" s="2060"/>
      <c r="T102" s="2060"/>
      <c r="U102" s="2060"/>
      <c r="V102" s="2060"/>
      <c r="W102" s="2060"/>
      <c r="X102" s="2060"/>
      <c r="Y102" s="2060"/>
      <c r="Z102" s="2068"/>
      <c r="AA102" s="2069"/>
    </row>
    <row r="103" spans="1:27">
      <c r="A103" s="2038"/>
      <c r="B103" s="2073"/>
      <c r="C103" s="2074"/>
      <c r="D103" s="2531"/>
      <c r="E103" s="2532"/>
      <c r="F103" s="2532"/>
      <c r="G103" s="2532"/>
      <c r="H103" s="2532"/>
      <c r="I103" s="2540"/>
      <c r="J103" s="2048"/>
      <c r="K103" s="2048"/>
      <c r="L103" s="2052"/>
      <c r="M103" s="2054"/>
      <c r="N103" s="2056"/>
      <c r="O103" s="2058"/>
      <c r="P103" s="2060"/>
      <c r="Q103" s="2060"/>
      <c r="R103" s="2060"/>
      <c r="S103" s="2060"/>
      <c r="T103" s="2060"/>
      <c r="U103" s="2060"/>
      <c r="V103" s="2060"/>
      <c r="W103" s="2060"/>
      <c r="X103" s="2060"/>
      <c r="Y103" s="2060"/>
      <c r="Z103" s="2070"/>
      <c r="AA103" s="2071"/>
    </row>
    <row r="104" spans="1:27">
      <c r="A104" s="2039"/>
      <c r="B104" s="2514" t="s">
        <v>166</v>
      </c>
      <c r="C104" s="2515"/>
      <c r="D104" s="2515"/>
      <c r="E104" s="2515"/>
      <c r="F104" s="2515"/>
      <c r="G104" s="2515"/>
      <c r="H104" s="2515"/>
      <c r="I104" s="2522"/>
      <c r="J104" s="2049"/>
      <c r="K104" s="2048"/>
      <c r="L104" s="2052"/>
      <c r="M104" s="2085" t="s">
        <v>143</v>
      </c>
      <c r="N104" s="2087">
        <v>0</v>
      </c>
      <c r="O104" s="2058" t="s">
        <v>112</v>
      </c>
      <c r="P104" s="2087">
        <v>0</v>
      </c>
      <c r="Q104" s="2087">
        <v>0</v>
      </c>
      <c r="R104" s="2087">
        <v>0</v>
      </c>
      <c r="S104" s="2087">
        <v>0</v>
      </c>
      <c r="T104" s="2087">
        <v>0</v>
      </c>
      <c r="U104" s="2087">
        <v>0</v>
      </c>
      <c r="V104" s="2087">
        <v>0</v>
      </c>
      <c r="W104" s="2087">
        <v>0</v>
      </c>
      <c r="X104" s="2087">
        <v>0</v>
      </c>
      <c r="Y104" s="2087">
        <v>0</v>
      </c>
      <c r="Z104" s="2092"/>
      <c r="AA104" s="2093"/>
    </row>
    <row r="105" spans="1:27">
      <c r="A105" s="2039"/>
      <c r="B105" s="2523"/>
      <c r="C105" s="2524"/>
      <c r="D105" s="2524"/>
      <c r="E105" s="2524"/>
      <c r="F105" s="2524"/>
      <c r="G105" s="2524"/>
      <c r="H105" s="2524"/>
      <c r="I105" s="2525"/>
      <c r="J105" s="2049"/>
      <c r="K105" s="2048"/>
      <c r="L105" s="2052"/>
      <c r="M105" s="2085"/>
      <c r="N105" s="2087"/>
      <c r="O105" s="2058"/>
      <c r="P105" s="2087"/>
      <c r="Q105" s="2087"/>
      <c r="R105" s="2087"/>
      <c r="S105" s="2087"/>
      <c r="T105" s="2087"/>
      <c r="U105" s="2087"/>
      <c r="V105" s="2087"/>
      <c r="W105" s="2087"/>
      <c r="X105" s="2087"/>
      <c r="Y105" s="2087"/>
      <c r="Z105" s="2061"/>
      <c r="AA105" s="2062"/>
    </row>
    <row r="106" spans="1:27">
      <c r="A106" s="2039"/>
      <c r="B106" s="2523"/>
      <c r="C106" s="2524"/>
      <c r="D106" s="2524"/>
      <c r="E106" s="2524"/>
      <c r="F106" s="2524"/>
      <c r="G106" s="2524"/>
      <c r="H106" s="2524"/>
      <c r="I106" s="2525"/>
      <c r="J106" s="2049"/>
      <c r="K106" s="2048"/>
      <c r="L106" s="2089">
        <v>2518983</v>
      </c>
      <c r="M106" s="2085"/>
      <c r="N106" s="2087"/>
      <c r="O106" s="2058"/>
      <c r="P106" s="2087"/>
      <c r="Q106" s="2087"/>
      <c r="R106" s="2087"/>
      <c r="S106" s="2087"/>
      <c r="T106" s="2087"/>
      <c r="U106" s="2087"/>
      <c r="V106" s="2087"/>
      <c r="W106" s="2087"/>
      <c r="X106" s="2087"/>
      <c r="Y106" s="2087"/>
      <c r="Z106" s="2061" t="s">
        <v>154</v>
      </c>
      <c r="AA106" s="2062">
        <f>P100</f>
        <v>2724870</v>
      </c>
    </row>
    <row r="107" spans="1:27">
      <c r="A107" s="2039"/>
      <c r="B107" s="2518"/>
      <c r="C107" s="2519"/>
      <c r="D107" s="2519"/>
      <c r="E107" s="2519"/>
      <c r="F107" s="2519"/>
      <c r="G107" s="2519"/>
      <c r="H107" s="2519"/>
      <c r="I107" s="2526"/>
      <c r="J107" s="2049"/>
      <c r="K107" s="2048"/>
      <c r="L107" s="2089"/>
      <c r="M107" s="2085"/>
      <c r="N107" s="2087"/>
      <c r="O107" s="2058"/>
      <c r="P107" s="2087"/>
      <c r="Q107" s="2087"/>
      <c r="R107" s="2087"/>
      <c r="S107" s="2087"/>
      <c r="T107" s="2087"/>
      <c r="U107" s="2087"/>
      <c r="V107" s="2087"/>
      <c r="W107" s="2087"/>
      <c r="X107" s="2087"/>
      <c r="Y107" s="2087"/>
      <c r="Z107" s="2061"/>
      <c r="AA107" s="2062"/>
    </row>
    <row r="108" spans="1:27">
      <c r="A108" s="2039"/>
      <c r="B108" s="2028" t="s">
        <v>167</v>
      </c>
      <c r="C108" s="2029"/>
      <c r="D108" s="2029"/>
      <c r="E108" s="2029"/>
      <c r="F108" s="2029"/>
      <c r="G108" s="2029"/>
      <c r="H108" s="2029"/>
      <c r="I108" s="2030"/>
      <c r="J108" s="2048"/>
      <c r="K108" s="2048"/>
      <c r="L108" s="2089"/>
      <c r="M108" s="2034" t="s">
        <v>403</v>
      </c>
      <c r="N108" s="2086">
        <f>SUM(P108:Y111)</f>
        <v>2724870</v>
      </c>
      <c r="O108" s="2058" t="s">
        <v>112</v>
      </c>
      <c r="P108" s="2087">
        <v>2724870</v>
      </c>
      <c r="Q108" s="2087">
        <v>0</v>
      </c>
      <c r="R108" s="2087">
        <v>0</v>
      </c>
      <c r="S108" s="2087">
        <v>0</v>
      </c>
      <c r="T108" s="2087">
        <v>0</v>
      </c>
      <c r="U108" s="2087">
        <v>0</v>
      </c>
      <c r="V108" s="2087">
        <v>0</v>
      </c>
      <c r="W108" s="2087">
        <v>0</v>
      </c>
      <c r="X108" s="2087">
        <v>0</v>
      </c>
      <c r="Y108" s="2087">
        <v>0</v>
      </c>
      <c r="Z108" s="2061"/>
      <c r="AA108" s="2176"/>
    </row>
    <row r="109" spans="1:27">
      <c r="A109" s="2039"/>
      <c r="B109" s="2028"/>
      <c r="C109" s="2029"/>
      <c r="D109" s="2029"/>
      <c r="E109" s="2029"/>
      <c r="F109" s="2029"/>
      <c r="G109" s="2029"/>
      <c r="H109" s="2029"/>
      <c r="I109" s="2030"/>
      <c r="J109" s="2048"/>
      <c r="K109" s="2048"/>
      <c r="L109" s="2089"/>
      <c r="M109" s="2035"/>
      <c r="N109" s="2058"/>
      <c r="O109" s="2058"/>
      <c r="P109" s="2087"/>
      <c r="Q109" s="2087"/>
      <c r="R109" s="2087"/>
      <c r="S109" s="2087"/>
      <c r="T109" s="2087"/>
      <c r="U109" s="2087"/>
      <c r="V109" s="2087"/>
      <c r="W109" s="2087"/>
      <c r="X109" s="2087"/>
      <c r="Y109" s="2087"/>
      <c r="Z109" s="2061"/>
      <c r="AA109" s="2176"/>
    </row>
    <row r="110" spans="1:27">
      <c r="A110" s="2039"/>
      <c r="B110" s="2028"/>
      <c r="C110" s="2029"/>
      <c r="D110" s="2029"/>
      <c r="E110" s="2029"/>
      <c r="F110" s="2029"/>
      <c r="G110" s="2029"/>
      <c r="H110" s="2029"/>
      <c r="I110" s="2030"/>
      <c r="J110" s="2048"/>
      <c r="K110" s="2048"/>
      <c r="L110" s="2089"/>
      <c r="M110" s="2035"/>
      <c r="N110" s="2058"/>
      <c r="O110" s="2058"/>
      <c r="P110" s="2087"/>
      <c r="Q110" s="2087"/>
      <c r="R110" s="2087"/>
      <c r="S110" s="2087"/>
      <c r="T110" s="2087"/>
      <c r="U110" s="2087"/>
      <c r="V110" s="2087"/>
      <c r="W110" s="2087"/>
      <c r="X110" s="2087"/>
      <c r="Y110" s="2087"/>
      <c r="Z110" s="2063"/>
      <c r="AA110" s="2176"/>
    </row>
    <row r="111" spans="1:27" ht="13.5" thickBot="1">
      <c r="A111" s="2040"/>
      <c r="B111" s="2031"/>
      <c r="C111" s="2032"/>
      <c r="D111" s="2032"/>
      <c r="E111" s="2032"/>
      <c r="F111" s="2032"/>
      <c r="G111" s="2032"/>
      <c r="H111" s="2032"/>
      <c r="I111" s="2033"/>
      <c r="J111" s="2050"/>
      <c r="K111" s="2050"/>
      <c r="L111" s="2090"/>
      <c r="M111" s="2036"/>
      <c r="N111" s="2091"/>
      <c r="O111" s="2091"/>
      <c r="P111" s="2088"/>
      <c r="Q111" s="2088"/>
      <c r="R111" s="2088"/>
      <c r="S111" s="2088"/>
      <c r="T111" s="2088"/>
      <c r="U111" s="2088"/>
      <c r="V111" s="2088"/>
      <c r="W111" s="2088"/>
      <c r="X111" s="2088"/>
      <c r="Y111" s="2088"/>
      <c r="Z111" s="2064"/>
      <c r="AA111" s="2177"/>
    </row>
    <row r="112" spans="1:27" ht="14.25" thickTop="1" thickBot="1">
      <c r="A112" s="1149"/>
      <c r="B112" s="1146"/>
      <c r="C112" s="1146"/>
      <c r="D112" s="1146"/>
      <c r="E112" s="1146"/>
      <c r="F112" s="1146"/>
      <c r="G112" s="1146"/>
      <c r="H112" s="1146"/>
      <c r="I112" s="1146"/>
      <c r="J112" s="1149"/>
      <c r="K112" s="1149"/>
      <c r="L112" s="661"/>
      <c r="M112" s="822"/>
      <c r="N112" s="1149"/>
      <c r="O112" s="1149"/>
      <c r="P112" s="655"/>
      <c r="Q112" s="655"/>
      <c r="R112" s="655"/>
      <c r="S112" s="655"/>
      <c r="T112" s="655"/>
      <c r="U112" s="655"/>
      <c r="V112" s="655"/>
      <c r="W112" s="655"/>
      <c r="X112" s="655"/>
      <c r="Y112" s="655"/>
      <c r="Z112" s="634"/>
      <c r="AA112" s="633"/>
    </row>
    <row r="113" spans="1:27" ht="13.5" thickTop="1">
      <c r="A113" s="2037">
        <v>6</v>
      </c>
      <c r="B113" s="2041" t="s">
        <v>101</v>
      </c>
      <c r="C113" s="2042"/>
      <c r="D113" s="2042">
        <v>750</v>
      </c>
      <c r="E113" s="2042"/>
      <c r="F113" s="2045" t="s">
        <v>132</v>
      </c>
      <c r="G113" s="2045"/>
      <c r="H113" s="2045"/>
      <c r="I113" s="2045"/>
      <c r="J113" s="2047">
        <v>2011</v>
      </c>
      <c r="K113" s="2047">
        <v>2013</v>
      </c>
      <c r="L113" s="2051">
        <f>SUM(N113,L119)</f>
        <v>593380</v>
      </c>
      <c r="M113" s="2053" t="s">
        <v>120</v>
      </c>
      <c r="N113" s="2055">
        <f>SUM(N117:N124)</f>
        <v>298000</v>
      </c>
      <c r="O113" s="2057" t="s">
        <v>112</v>
      </c>
      <c r="P113" s="2059">
        <f>SUM(P117:P124)</f>
        <v>298000</v>
      </c>
      <c r="Q113" s="2059">
        <f>SUM(Q117:Q124)</f>
        <v>0</v>
      </c>
      <c r="R113" s="2059">
        <f>SUM(R117:R124)</f>
        <v>0</v>
      </c>
      <c r="S113" s="2059">
        <f t="shared" ref="S113:Y113" si="7">SUM(S117:S124)</f>
        <v>0</v>
      </c>
      <c r="T113" s="2059">
        <f t="shared" si="7"/>
        <v>0</v>
      </c>
      <c r="U113" s="2059">
        <f t="shared" si="7"/>
        <v>0</v>
      </c>
      <c r="V113" s="2059">
        <f t="shared" si="7"/>
        <v>0</v>
      </c>
      <c r="W113" s="2059">
        <f t="shared" si="7"/>
        <v>0</v>
      </c>
      <c r="X113" s="2059">
        <f t="shared" si="7"/>
        <v>0</v>
      </c>
      <c r="Y113" s="2059">
        <f t="shared" si="7"/>
        <v>0</v>
      </c>
      <c r="Z113" s="2066">
        <f>SUM(AA117:AA124)</f>
        <v>298000</v>
      </c>
      <c r="AA113" s="2067"/>
    </row>
    <row r="114" spans="1:27">
      <c r="A114" s="2038"/>
      <c r="B114" s="2043"/>
      <c r="C114" s="2044"/>
      <c r="D114" s="2044"/>
      <c r="E114" s="2044"/>
      <c r="F114" s="2046"/>
      <c r="G114" s="2046"/>
      <c r="H114" s="2046"/>
      <c r="I114" s="2046"/>
      <c r="J114" s="2048"/>
      <c r="K114" s="2048"/>
      <c r="L114" s="2052"/>
      <c r="M114" s="2054"/>
      <c r="N114" s="2056"/>
      <c r="O114" s="2058"/>
      <c r="P114" s="2060"/>
      <c r="Q114" s="2060"/>
      <c r="R114" s="2060"/>
      <c r="S114" s="2060"/>
      <c r="T114" s="2060"/>
      <c r="U114" s="2060"/>
      <c r="V114" s="2060"/>
      <c r="W114" s="2060"/>
      <c r="X114" s="2060"/>
      <c r="Y114" s="2060"/>
      <c r="Z114" s="2068"/>
      <c r="AA114" s="2069"/>
    </row>
    <row r="115" spans="1:27">
      <c r="A115" s="2038"/>
      <c r="B115" s="2072" t="s">
        <v>107</v>
      </c>
      <c r="C115" s="2058"/>
      <c r="D115" s="2058">
        <v>75075</v>
      </c>
      <c r="E115" s="2058"/>
      <c r="F115" s="2046" t="s">
        <v>333</v>
      </c>
      <c r="G115" s="2046"/>
      <c r="H115" s="2046"/>
      <c r="I115" s="2046"/>
      <c r="J115" s="2048"/>
      <c r="K115" s="2048"/>
      <c r="L115" s="2052"/>
      <c r="M115" s="2054"/>
      <c r="N115" s="2056"/>
      <c r="O115" s="2058"/>
      <c r="P115" s="2060"/>
      <c r="Q115" s="2060"/>
      <c r="R115" s="2060"/>
      <c r="S115" s="2060"/>
      <c r="T115" s="2060"/>
      <c r="U115" s="2060"/>
      <c r="V115" s="2060"/>
      <c r="W115" s="2060"/>
      <c r="X115" s="2060"/>
      <c r="Y115" s="2060"/>
      <c r="Z115" s="2068"/>
      <c r="AA115" s="2069"/>
    </row>
    <row r="116" spans="1:27">
      <c r="A116" s="2038"/>
      <c r="B116" s="2073"/>
      <c r="C116" s="2074"/>
      <c r="D116" s="2074"/>
      <c r="E116" s="2074"/>
      <c r="F116" s="2075"/>
      <c r="G116" s="2075"/>
      <c r="H116" s="2075"/>
      <c r="I116" s="2075"/>
      <c r="J116" s="2048"/>
      <c r="K116" s="2048"/>
      <c r="L116" s="2052"/>
      <c r="M116" s="2054"/>
      <c r="N116" s="2056"/>
      <c r="O116" s="2058"/>
      <c r="P116" s="2060"/>
      <c r="Q116" s="2060"/>
      <c r="R116" s="2060"/>
      <c r="S116" s="2060"/>
      <c r="T116" s="2060"/>
      <c r="U116" s="2060"/>
      <c r="V116" s="2060"/>
      <c r="W116" s="2060"/>
      <c r="X116" s="2060"/>
      <c r="Y116" s="2060"/>
      <c r="Z116" s="2070"/>
      <c r="AA116" s="2071"/>
    </row>
    <row r="117" spans="1:27">
      <c r="A117" s="2039"/>
      <c r="B117" s="2514" t="s">
        <v>168</v>
      </c>
      <c r="C117" s="2515"/>
      <c r="D117" s="2515"/>
      <c r="E117" s="2515"/>
      <c r="F117" s="2515"/>
      <c r="G117" s="2515"/>
      <c r="H117" s="2515"/>
      <c r="I117" s="2522"/>
      <c r="J117" s="2049"/>
      <c r="K117" s="2048"/>
      <c r="L117" s="2052"/>
      <c r="M117" s="2085" t="s">
        <v>143</v>
      </c>
      <c r="N117" s="2086">
        <f>SUM(P117:Y120)</f>
        <v>253300</v>
      </c>
      <c r="O117" s="2058" t="s">
        <v>112</v>
      </c>
      <c r="P117" s="2087">
        <v>253300</v>
      </c>
      <c r="Q117" s="2087">
        <v>0</v>
      </c>
      <c r="R117" s="2087">
        <v>0</v>
      </c>
      <c r="S117" s="2087">
        <v>0</v>
      </c>
      <c r="T117" s="2087">
        <v>0</v>
      </c>
      <c r="U117" s="2087">
        <v>0</v>
      </c>
      <c r="V117" s="2087">
        <v>0</v>
      </c>
      <c r="W117" s="2087">
        <v>0</v>
      </c>
      <c r="X117" s="2087">
        <v>0</v>
      </c>
      <c r="Y117" s="2087">
        <v>0</v>
      </c>
      <c r="Z117" s="2092"/>
      <c r="AA117" s="2093"/>
    </row>
    <row r="118" spans="1:27">
      <c r="A118" s="2039"/>
      <c r="B118" s="2523"/>
      <c r="C118" s="2524"/>
      <c r="D118" s="2524"/>
      <c r="E118" s="2524"/>
      <c r="F118" s="2524"/>
      <c r="G118" s="2524"/>
      <c r="H118" s="2524"/>
      <c r="I118" s="2525"/>
      <c r="J118" s="2049"/>
      <c r="K118" s="2048"/>
      <c r="L118" s="2052"/>
      <c r="M118" s="2085"/>
      <c r="N118" s="2058"/>
      <c r="O118" s="2058"/>
      <c r="P118" s="2087"/>
      <c r="Q118" s="2087"/>
      <c r="R118" s="2087"/>
      <c r="S118" s="2087"/>
      <c r="T118" s="2087"/>
      <c r="U118" s="2087"/>
      <c r="V118" s="2087"/>
      <c r="W118" s="2087"/>
      <c r="X118" s="2087"/>
      <c r="Y118" s="2087"/>
      <c r="Z118" s="2061"/>
      <c r="AA118" s="2062"/>
    </row>
    <row r="119" spans="1:27">
      <c r="A119" s="2039"/>
      <c r="B119" s="2523"/>
      <c r="C119" s="2524"/>
      <c r="D119" s="2524"/>
      <c r="E119" s="2524"/>
      <c r="F119" s="2524"/>
      <c r="G119" s="2524"/>
      <c r="H119" s="2524"/>
      <c r="I119" s="2525"/>
      <c r="J119" s="2049"/>
      <c r="K119" s="2048"/>
      <c r="L119" s="2089">
        <v>295380</v>
      </c>
      <c r="M119" s="2085"/>
      <c r="N119" s="2058"/>
      <c r="O119" s="2058"/>
      <c r="P119" s="2087"/>
      <c r="Q119" s="2087"/>
      <c r="R119" s="2087"/>
      <c r="S119" s="2087"/>
      <c r="T119" s="2087"/>
      <c r="U119" s="2087"/>
      <c r="V119" s="2087"/>
      <c r="W119" s="2087"/>
      <c r="X119" s="2087"/>
      <c r="Y119" s="2087"/>
      <c r="Z119" s="2061" t="s">
        <v>154</v>
      </c>
      <c r="AA119" s="2062">
        <f>P113</f>
        <v>298000</v>
      </c>
    </row>
    <row r="120" spans="1:27">
      <c r="A120" s="2039"/>
      <c r="B120" s="2518"/>
      <c r="C120" s="2519"/>
      <c r="D120" s="2519"/>
      <c r="E120" s="2519"/>
      <c r="F120" s="2519"/>
      <c r="G120" s="2519"/>
      <c r="H120" s="2519"/>
      <c r="I120" s="2526"/>
      <c r="J120" s="2049"/>
      <c r="K120" s="2048"/>
      <c r="L120" s="2089"/>
      <c r="M120" s="2085"/>
      <c r="N120" s="2058"/>
      <c r="O120" s="2058"/>
      <c r="P120" s="2087"/>
      <c r="Q120" s="2087"/>
      <c r="R120" s="2087"/>
      <c r="S120" s="2087"/>
      <c r="T120" s="2087"/>
      <c r="U120" s="2087"/>
      <c r="V120" s="2087"/>
      <c r="W120" s="2087"/>
      <c r="X120" s="2087"/>
      <c r="Y120" s="2087"/>
      <c r="Z120" s="2061"/>
      <c r="AA120" s="2062"/>
    </row>
    <row r="121" spans="1:27">
      <c r="A121" s="2039"/>
      <c r="B121" s="2028" t="s">
        <v>167</v>
      </c>
      <c r="C121" s="2029"/>
      <c r="D121" s="2029"/>
      <c r="E121" s="2029"/>
      <c r="F121" s="2029"/>
      <c r="G121" s="2029"/>
      <c r="H121" s="2029"/>
      <c r="I121" s="2030"/>
      <c r="J121" s="2048"/>
      <c r="K121" s="2048"/>
      <c r="L121" s="2089"/>
      <c r="M121" s="2034" t="s">
        <v>371</v>
      </c>
      <c r="N121" s="2086">
        <f>SUM(P121:Y124)</f>
        <v>44700</v>
      </c>
      <c r="O121" s="2058" t="s">
        <v>112</v>
      </c>
      <c r="P121" s="2087">
        <v>44700</v>
      </c>
      <c r="Q121" s="2087">
        <v>0</v>
      </c>
      <c r="R121" s="2087">
        <v>0</v>
      </c>
      <c r="S121" s="2087">
        <v>0</v>
      </c>
      <c r="T121" s="2087">
        <v>0</v>
      </c>
      <c r="U121" s="2087">
        <v>0</v>
      </c>
      <c r="V121" s="2087">
        <v>0</v>
      </c>
      <c r="W121" s="2087">
        <v>0</v>
      </c>
      <c r="X121" s="2087">
        <v>0</v>
      </c>
      <c r="Y121" s="2087">
        <v>0</v>
      </c>
      <c r="Z121" s="2061"/>
      <c r="AA121" s="2176"/>
    </row>
    <row r="122" spans="1:27">
      <c r="A122" s="2039"/>
      <c r="B122" s="2028"/>
      <c r="C122" s="2029"/>
      <c r="D122" s="2029"/>
      <c r="E122" s="2029"/>
      <c r="F122" s="2029"/>
      <c r="G122" s="2029"/>
      <c r="H122" s="2029"/>
      <c r="I122" s="2030"/>
      <c r="J122" s="2048"/>
      <c r="K122" s="2048"/>
      <c r="L122" s="2089"/>
      <c r="M122" s="2035"/>
      <c r="N122" s="2058"/>
      <c r="O122" s="2058"/>
      <c r="P122" s="2087"/>
      <c r="Q122" s="2087"/>
      <c r="R122" s="2087"/>
      <c r="S122" s="2087"/>
      <c r="T122" s="2087"/>
      <c r="U122" s="2087"/>
      <c r="V122" s="2087"/>
      <c r="W122" s="2087"/>
      <c r="X122" s="2087"/>
      <c r="Y122" s="2087"/>
      <c r="Z122" s="2061"/>
      <c r="AA122" s="2176"/>
    </row>
    <row r="123" spans="1:27">
      <c r="A123" s="2039"/>
      <c r="B123" s="2028"/>
      <c r="C123" s="2029"/>
      <c r="D123" s="2029"/>
      <c r="E123" s="2029"/>
      <c r="F123" s="2029"/>
      <c r="G123" s="2029"/>
      <c r="H123" s="2029"/>
      <c r="I123" s="2030"/>
      <c r="J123" s="2048"/>
      <c r="K123" s="2048"/>
      <c r="L123" s="2089"/>
      <c r="M123" s="2035"/>
      <c r="N123" s="2058"/>
      <c r="O123" s="2058"/>
      <c r="P123" s="2087"/>
      <c r="Q123" s="2087"/>
      <c r="R123" s="2087"/>
      <c r="S123" s="2087"/>
      <c r="T123" s="2087"/>
      <c r="U123" s="2087"/>
      <c r="V123" s="2087"/>
      <c r="W123" s="2087"/>
      <c r="X123" s="2087"/>
      <c r="Y123" s="2087"/>
      <c r="Z123" s="2063"/>
      <c r="AA123" s="2176"/>
    </row>
    <row r="124" spans="1:27" ht="13.5" thickBot="1">
      <c r="A124" s="2040"/>
      <c r="B124" s="2031"/>
      <c r="C124" s="2032"/>
      <c r="D124" s="2032"/>
      <c r="E124" s="2032"/>
      <c r="F124" s="2032"/>
      <c r="G124" s="2032"/>
      <c r="H124" s="2032"/>
      <c r="I124" s="2033"/>
      <c r="J124" s="2050"/>
      <c r="K124" s="2050"/>
      <c r="L124" s="2090"/>
      <c r="M124" s="2036"/>
      <c r="N124" s="2091"/>
      <c r="O124" s="2091"/>
      <c r="P124" s="2088"/>
      <c r="Q124" s="2088"/>
      <c r="R124" s="2088"/>
      <c r="S124" s="2088"/>
      <c r="T124" s="2088"/>
      <c r="U124" s="2088"/>
      <c r="V124" s="2088"/>
      <c r="W124" s="2088"/>
      <c r="X124" s="2088"/>
      <c r="Y124" s="2088"/>
      <c r="Z124" s="2064"/>
      <c r="AA124" s="2177"/>
    </row>
    <row r="125" spans="1:27" ht="14.25" thickTop="1" thickBot="1">
      <c r="A125" s="1149"/>
      <c r="B125" s="1146"/>
      <c r="C125" s="1146"/>
      <c r="D125" s="1146"/>
      <c r="E125" s="1146"/>
      <c r="F125" s="1146"/>
      <c r="G125" s="1146"/>
      <c r="H125" s="1146"/>
      <c r="I125" s="1146"/>
      <c r="J125" s="1147"/>
      <c r="K125" s="1147"/>
      <c r="L125" s="814"/>
      <c r="M125" s="826"/>
      <c r="N125" s="1147"/>
      <c r="O125" s="1147"/>
      <c r="P125" s="656"/>
      <c r="Q125" s="656"/>
      <c r="R125" s="656"/>
      <c r="S125" s="656"/>
      <c r="T125" s="656"/>
      <c r="U125" s="656"/>
      <c r="V125" s="656"/>
      <c r="W125" s="656"/>
      <c r="X125" s="656"/>
      <c r="Y125" s="656"/>
      <c r="Z125" s="812"/>
      <c r="AA125" s="813"/>
    </row>
    <row r="126" spans="1:27" ht="13.5" thickTop="1">
      <c r="A126" s="2037">
        <v>7</v>
      </c>
      <c r="B126" s="2041" t="s">
        <v>101</v>
      </c>
      <c r="C126" s="2042"/>
      <c r="D126" s="2042">
        <v>853</v>
      </c>
      <c r="E126" s="2042"/>
      <c r="F126" s="2045" t="s">
        <v>354</v>
      </c>
      <c r="G126" s="2045"/>
      <c r="H126" s="2045"/>
      <c r="I126" s="2045"/>
      <c r="J126" s="2047">
        <v>2011</v>
      </c>
      <c r="K126" s="2047">
        <v>2014</v>
      </c>
      <c r="L126" s="2051">
        <v>730500</v>
      </c>
      <c r="M126" s="2053" t="s">
        <v>120</v>
      </c>
      <c r="N126" s="2055">
        <f>SUM(N130:N137)</f>
        <v>283383</v>
      </c>
      <c r="O126" s="2057" t="s">
        <v>112</v>
      </c>
      <c r="P126" s="2059">
        <f>SUM(P130:P137)</f>
        <v>272883</v>
      </c>
      <c r="Q126" s="2059">
        <f>SUM(Q130:Q137)</f>
        <v>10500</v>
      </c>
      <c r="R126" s="2059">
        <f>SUM(R130:R137)</f>
        <v>0</v>
      </c>
      <c r="S126" s="2059">
        <f t="shared" ref="S126:Y126" si="8">SUM(S130:S137)</f>
        <v>0</v>
      </c>
      <c r="T126" s="2059">
        <f t="shared" si="8"/>
        <v>0</v>
      </c>
      <c r="U126" s="2059">
        <f t="shared" si="8"/>
        <v>0</v>
      </c>
      <c r="V126" s="2059">
        <f t="shared" si="8"/>
        <v>0</v>
      </c>
      <c r="W126" s="2059">
        <f t="shared" si="8"/>
        <v>0</v>
      </c>
      <c r="X126" s="2059">
        <f t="shared" si="8"/>
        <v>0</v>
      </c>
      <c r="Y126" s="2059">
        <f t="shared" si="8"/>
        <v>0</v>
      </c>
      <c r="Z126" s="2066">
        <f>SUM(AA130:AA137)</f>
        <v>283383</v>
      </c>
      <c r="AA126" s="2067"/>
    </row>
    <row r="127" spans="1:27">
      <c r="A127" s="2038"/>
      <c r="B127" s="2043"/>
      <c r="C127" s="2044"/>
      <c r="D127" s="2044"/>
      <c r="E127" s="2044"/>
      <c r="F127" s="2046"/>
      <c r="G127" s="2046"/>
      <c r="H127" s="2046"/>
      <c r="I127" s="2046"/>
      <c r="J127" s="2048"/>
      <c r="K127" s="2048"/>
      <c r="L127" s="2052"/>
      <c r="M127" s="2054"/>
      <c r="N127" s="2056"/>
      <c r="O127" s="2058"/>
      <c r="P127" s="2060"/>
      <c r="Q127" s="2060"/>
      <c r="R127" s="2060"/>
      <c r="S127" s="2060"/>
      <c r="T127" s="2060"/>
      <c r="U127" s="2060"/>
      <c r="V127" s="2060"/>
      <c r="W127" s="2060"/>
      <c r="X127" s="2060"/>
      <c r="Y127" s="2060"/>
      <c r="Z127" s="2068"/>
      <c r="AA127" s="2069"/>
    </row>
    <row r="128" spans="1:27">
      <c r="A128" s="2038"/>
      <c r="B128" s="2072" t="s">
        <v>107</v>
      </c>
      <c r="C128" s="2058"/>
      <c r="D128" s="2058">
        <v>85395</v>
      </c>
      <c r="E128" s="2058"/>
      <c r="F128" s="2046" t="s">
        <v>130</v>
      </c>
      <c r="G128" s="2046"/>
      <c r="H128" s="2046"/>
      <c r="I128" s="2046"/>
      <c r="J128" s="2048"/>
      <c r="K128" s="2048"/>
      <c r="L128" s="2052"/>
      <c r="M128" s="2054"/>
      <c r="N128" s="2056"/>
      <c r="O128" s="2058"/>
      <c r="P128" s="2060"/>
      <c r="Q128" s="2060"/>
      <c r="R128" s="2060"/>
      <c r="S128" s="2060"/>
      <c r="T128" s="2060"/>
      <c r="U128" s="2060"/>
      <c r="V128" s="2060"/>
      <c r="W128" s="2060"/>
      <c r="X128" s="2060"/>
      <c r="Y128" s="2060"/>
      <c r="Z128" s="2068"/>
      <c r="AA128" s="2069"/>
    </row>
    <row r="129" spans="1:27">
      <c r="A129" s="2038"/>
      <c r="B129" s="2073"/>
      <c r="C129" s="2074"/>
      <c r="D129" s="2074"/>
      <c r="E129" s="2074"/>
      <c r="F129" s="2075"/>
      <c r="G129" s="2075"/>
      <c r="H129" s="2075"/>
      <c r="I129" s="2075"/>
      <c r="J129" s="2048"/>
      <c r="K129" s="2048"/>
      <c r="L129" s="2052"/>
      <c r="M129" s="2054"/>
      <c r="N129" s="2056"/>
      <c r="O129" s="2058"/>
      <c r="P129" s="2060"/>
      <c r="Q129" s="2060"/>
      <c r="R129" s="2060"/>
      <c r="S129" s="2060"/>
      <c r="T129" s="2060"/>
      <c r="U129" s="2060"/>
      <c r="V129" s="2060"/>
      <c r="W129" s="2060"/>
      <c r="X129" s="2060"/>
      <c r="Y129" s="2060"/>
      <c r="Z129" s="2070"/>
      <c r="AA129" s="2071"/>
    </row>
    <row r="130" spans="1:27">
      <c r="A130" s="2039"/>
      <c r="B130" s="2514" t="s">
        <v>355</v>
      </c>
      <c r="C130" s="2515"/>
      <c r="D130" s="2515"/>
      <c r="E130" s="2515"/>
      <c r="F130" s="2515"/>
      <c r="G130" s="2515"/>
      <c r="H130" s="2515"/>
      <c r="I130" s="2522"/>
      <c r="J130" s="2049"/>
      <c r="K130" s="2048"/>
      <c r="L130" s="2052"/>
      <c r="M130" s="2085" t="s">
        <v>143</v>
      </c>
      <c r="N130" s="2086">
        <f>SUM(P130:Y133)</f>
        <v>283383</v>
      </c>
      <c r="O130" s="2058" t="s">
        <v>112</v>
      </c>
      <c r="P130" s="2087">
        <v>272883</v>
      </c>
      <c r="Q130" s="2087">
        <v>10500</v>
      </c>
      <c r="R130" s="2087">
        <v>0</v>
      </c>
      <c r="S130" s="2087">
        <v>0</v>
      </c>
      <c r="T130" s="2087">
        <v>0</v>
      </c>
      <c r="U130" s="2087">
        <v>0</v>
      </c>
      <c r="V130" s="2087">
        <v>0</v>
      </c>
      <c r="W130" s="2087">
        <v>0</v>
      </c>
      <c r="X130" s="2087">
        <v>0</v>
      </c>
      <c r="Y130" s="2087">
        <v>0</v>
      </c>
      <c r="Z130" s="2092"/>
      <c r="AA130" s="2093"/>
    </row>
    <row r="131" spans="1:27">
      <c r="A131" s="2039"/>
      <c r="B131" s="2523"/>
      <c r="C131" s="2524"/>
      <c r="D131" s="2524"/>
      <c r="E131" s="2524"/>
      <c r="F131" s="2524"/>
      <c r="G131" s="2524"/>
      <c r="H131" s="2524"/>
      <c r="I131" s="2525"/>
      <c r="J131" s="2049"/>
      <c r="K131" s="2048"/>
      <c r="L131" s="2052"/>
      <c r="M131" s="2085"/>
      <c r="N131" s="2058"/>
      <c r="O131" s="2058"/>
      <c r="P131" s="2087"/>
      <c r="Q131" s="2087"/>
      <c r="R131" s="2087"/>
      <c r="S131" s="2087"/>
      <c r="T131" s="2087"/>
      <c r="U131" s="2087"/>
      <c r="V131" s="2087"/>
      <c r="W131" s="2087"/>
      <c r="X131" s="2087"/>
      <c r="Y131" s="2087"/>
      <c r="Z131" s="2061"/>
      <c r="AA131" s="2062"/>
    </row>
    <row r="132" spans="1:27">
      <c r="A132" s="2039"/>
      <c r="B132" s="2523"/>
      <c r="C132" s="2524"/>
      <c r="D132" s="2524"/>
      <c r="E132" s="2524"/>
      <c r="F132" s="2524"/>
      <c r="G132" s="2524"/>
      <c r="H132" s="2524"/>
      <c r="I132" s="2525"/>
      <c r="J132" s="2049"/>
      <c r="K132" s="2048"/>
      <c r="L132" s="2089">
        <v>447117</v>
      </c>
      <c r="M132" s="2085"/>
      <c r="N132" s="2058"/>
      <c r="O132" s="2058"/>
      <c r="P132" s="2087"/>
      <c r="Q132" s="2087"/>
      <c r="R132" s="2087"/>
      <c r="S132" s="2087"/>
      <c r="T132" s="2087"/>
      <c r="U132" s="2087"/>
      <c r="V132" s="2087"/>
      <c r="W132" s="2087"/>
      <c r="X132" s="2087"/>
      <c r="Y132" s="2087"/>
      <c r="Z132" s="2061" t="s">
        <v>154</v>
      </c>
      <c r="AA132" s="2062">
        <f>P126</f>
        <v>272883</v>
      </c>
    </row>
    <row r="133" spans="1:27">
      <c r="A133" s="2039"/>
      <c r="B133" s="2518"/>
      <c r="C133" s="2519"/>
      <c r="D133" s="2519"/>
      <c r="E133" s="2519"/>
      <c r="F133" s="2519"/>
      <c r="G133" s="2519"/>
      <c r="H133" s="2519"/>
      <c r="I133" s="2526"/>
      <c r="J133" s="2049"/>
      <c r="K133" s="2048"/>
      <c r="L133" s="2089"/>
      <c r="M133" s="2085"/>
      <c r="N133" s="2058"/>
      <c r="O133" s="2058"/>
      <c r="P133" s="2087"/>
      <c r="Q133" s="2087"/>
      <c r="R133" s="2087"/>
      <c r="S133" s="2087"/>
      <c r="T133" s="2087"/>
      <c r="U133" s="2087"/>
      <c r="V133" s="2087"/>
      <c r="W133" s="2087"/>
      <c r="X133" s="2087"/>
      <c r="Y133" s="2087"/>
      <c r="Z133" s="2061"/>
      <c r="AA133" s="2062"/>
    </row>
    <row r="134" spans="1:27">
      <c r="A134" s="2039"/>
      <c r="B134" s="2028" t="s">
        <v>356</v>
      </c>
      <c r="C134" s="2029"/>
      <c r="D134" s="2029"/>
      <c r="E134" s="2029"/>
      <c r="F134" s="2029"/>
      <c r="G134" s="2029"/>
      <c r="H134" s="2029"/>
      <c r="I134" s="2030"/>
      <c r="J134" s="2048"/>
      <c r="K134" s="2048"/>
      <c r="L134" s="2089"/>
      <c r="M134" s="2034" t="s">
        <v>369</v>
      </c>
      <c r="N134" s="2086">
        <f>SUM(P134:Y137)</f>
        <v>0</v>
      </c>
      <c r="O134" s="2058" t="s">
        <v>112</v>
      </c>
      <c r="P134" s="2087">
        <v>0</v>
      </c>
      <c r="Q134" s="2087">
        <v>0</v>
      </c>
      <c r="R134" s="2087">
        <v>0</v>
      </c>
      <c r="S134" s="2087">
        <v>0</v>
      </c>
      <c r="T134" s="2087">
        <v>0</v>
      </c>
      <c r="U134" s="2087">
        <v>0</v>
      </c>
      <c r="V134" s="2087">
        <v>0</v>
      </c>
      <c r="W134" s="2087">
        <v>0</v>
      </c>
      <c r="X134" s="2087">
        <v>0</v>
      </c>
      <c r="Y134" s="2087">
        <v>0</v>
      </c>
      <c r="Z134" s="2061" t="s">
        <v>345</v>
      </c>
      <c r="AA134" s="2062">
        <f>Q126</f>
        <v>10500</v>
      </c>
    </row>
    <row r="135" spans="1:27">
      <c r="A135" s="2039"/>
      <c r="B135" s="2028"/>
      <c r="C135" s="2029"/>
      <c r="D135" s="2029"/>
      <c r="E135" s="2029"/>
      <c r="F135" s="2029"/>
      <c r="G135" s="2029"/>
      <c r="H135" s="2029"/>
      <c r="I135" s="2030"/>
      <c r="J135" s="2048"/>
      <c r="K135" s="2048"/>
      <c r="L135" s="2089"/>
      <c r="M135" s="2035"/>
      <c r="N135" s="2058"/>
      <c r="O135" s="2058"/>
      <c r="P135" s="2087"/>
      <c r="Q135" s="2087"/>
      <c r="R135" s="2087"/>
      <c r="S135" s="2087"/>
      <c r="T135" s="2087"/>
      <c r="U135" s="2087"/>
      <c r="V135" s="2087"/>
      <c r="W135" s="2087"/>
      <c r="X135" s="2087"/>
      <c r="Y135" s="2087"/>
      <c r="Z135" s="2061"/>
      <c r="AA135" s="2062"/>
    </row>
    <row r="136" spans="1:27">
      <c r="A136" s="2039"/>
      <c r="B136" s="2028"/>
      <c r="C136" s="2029"/>
      <c r="D136" s="2029"/>
      <c r="E136" s="2029"/>
      <c r="F136" s="2029"/>
      <c r="G136" s="2029"/>
      <c r="H136" s="2029"/>
      <c r="I136" s="2030"/>
      <c r="J136" s="2048"/>
      <c r="K136" s="2048"/>
      <c r="L136" s="2089"/>
      <c r="M136" s="2035"/>
      <c r="N136" s="2058"/>
      <c r="O136" s="2058"/>
      <c r="P136" s="2087"/>
      <c r="Q136" s="2087"/>
      <c r="R136" s="2087"/>
      <c r="S136" s="2087"/>
      <c r="T136" s="2087"/>
      <c r="U136" s="2087"/>
      <c r="V136" s="2087"/>
      <c r="W136" s="2087"/>
      <c r="X136" s="2087"/>
      <c r="Y136" s="2087"/>
      <c r="Z136" s="2063"/>
      <c r="AA136" s="2062"/>
    </row>
    <row r="137" spans="1:27" ht="13.5" thickBot="1">
      <c r="A137" s="2040"/>
      <c r="B137" s="2031"/>
      <c r="C137" s="2032"/>
      <c r="D137" s="2032"/>
      <c r="E137" s="2032"/>
      <c r="F137" s="2032"/>
      <c r="G137" s="2032"/>
      <c r="H137" s="2032"/>
      <c r="I137" s="2033"/>
      <c r="J137" s="2050"/>
      <c r="K137" s="2050"/>
      <c r="L137" s="2090"/>
      <c r="M137" s="2036"/>
      <c r="N137" s="2091"/>
      <c r="O137" s="2091"/>
      <c r="P137" s="2088"/>
      <c r="Q137" s="2088"/>
      <c r="R137" s="2088"/>
      <c r="S137" s="2088"/>
      <c r="T137" s="2088"/>
      <c r="U137" s="2088"/>
      <c r="V137" s="2088"/>
      <c r="W137" s="2088"/>
      <c r="X137" s="2088"/>
      <c r="Y137" s="2088"/>
      <c r="Z137" s="2064"/>
      <c r="AA137" s="2062"/>
    </row>
    <row r="138" spans="1:27" ht="14.25" thickTop="1" thickBot="1">
      <c r="A138" s="1149"/>
      <c r="B138" s="1146"/>
      <c r="C138" s="1146"/>
      <c r="D138" s="1146"/>
      <c r="E138" s="1146"/>
      <c r="F138" s="1146"/>
      <c r="G138" s="1146"/>
      <c r="H138" s="1146"/>
      <c r="I138" s="1146"/>
      <c r="J138" s="1147"/>
      <c r="K138" s="1147"/>
      <c r="L138" s="811"/>
      <c r="M138" s="825"/>
      <c r="N138" s="1147"/>
      <c r="O138" s="1147"/>
      <c r="P138" s="656"/>
      <c r="Q138" s="656"/>
      <c r="R138" s="656"/>
      <c r="S138" s="656"/>
      <c r="T138" s="656"/>
      <c r="U138" s="656"/>
      <c r="V138" s="656"/>
      <c r="W138" s="656"/>
      <c r="X138" s="656"/>
      <c r="Y138" s="656"/>
      <c r="Z138" s="812"/>
      <c r="AA138" s="827"/>
    </row>
    <row r="139" spans="1:27" ht="13.5" thickTop="1">
      <c r="A139" s="2037">
        <v>8</v>
      </c>
      <c r="B139" s="2041" t="s">
        <v>101</v>
      </c>
      <c r="C139" s="2042"/>
      <c r="D139" s="2042">
        <v>852</v>
      </c>
      <c r="E139" s="2042"/>
      <c r="F139" s="2045" t="s">
        <v>150</v>
      </c>
      <c r="G139" s="2045"/>
      <c r="H139" s="2045"/>
      <c r="I139" s="2045"/>
      <c r="J139" s="2047">
        <v>2012</v>
      </c>
      <c r="K139" s="2047">
        <v>2015</v>
      </c>
      <c r="L139" s="2051">
        <v>957700</v>
      </c>
      <c r="M139" s="2053" t="s">
        <v>120</v>
      </c>
      <c r="N139" s="2055">
        <f>SUM(N143:N150)</f>
        <v>716915</v>
      </c>
      <c r="O139" s="2057" t="s">
        <v>112</v>
      </c>
      <c r="P139" s="2059">
        <f>SUM(P143:P150)</f>
        <v>351636</v>
      </c>
      <c r="Q139" s="2059">
        <f>SUM(Q143:Q150)</f>
        <v>350032</v>
      </c>
      <c r="R139" s="2059">
        <f>SUM(R143:R150)</f>
        <v>15247</v>
      </c>
      <c r="S139" s="2059">
        <f t="shared" ref="S139:Y139" si="9">SUM(S143:S150)</f>
        <v>0</v>
      </c>
      <c r="T139" s="2059">
        <f t="shared" si="9"/>
        <v>0</v>
      </c>
      <c r="U139" s="2059">
        <f t="shared" si="9"/>
        <v>0</v>
      </c>
      <c r="V139" s="2059">
        <f t="shared" si="9"/>
        <v>0</v>
      </c>
      <c r="W139" s="2059">
        <f t="shared" si="9"/>
        <v>0</v>
      </c>
      <c r="X139" s="2059">
        <f t="shared" si="9"/>
        <v>0</v>
      </c>
      <c r="Y139" s="2059">
        <f t="shared" si="9"/>
        <v>0</v>
      </c>
      <c r="Z139" s="2066">
        <f>SUM(AA143:AA150)</f>
        <v>716915</v>
      </c>
      <c r="AA139" s="2067"/>
    </row>
    <row r="140" spans="1:27">
      <c r="A140" s="2038"/>
      <c r="B140" s="2043"/>
      <c r="C140" s="2044"/>
      <c r="D140" s="2044"/>
      <c r="E140" s="2044"/>
      <c r="F140" s="2046"/>
      <c r="G140" s="2046"/>
      <c r="H140" s="2046"/>
      <c r="I140" s="2046"/>
      <c r="J140" s="2048"/>
      <c r="K140" s="2048"/>
      <c r="L140" s="2052"/>
      <c r="M140" s="2054"/>
      <c r="N140" s="2056"/>
      <c r="O140" s="2058"/>
      <c r="P140" s="2060"/>
      <c r="Q140" s="2060"/>
      <c r="R140" s="2060"/>
      <c r="S140" s="2060"/>
      <c r="T140" s="2060"/>
      <c r="U140" s="2060"/>
      <c r="V140" s="2060"/>
      <c r="W140" s="2060"/>
      <c r="X140" s="2060"/>
      <c r="Y140" s="2060"/>
      <c r="Z140" s="2068"/>
      <c r="AA140" s="2069"/>
    </row>
    <row r="141" spans="1:27">
      <c r="A141" s="2038"/>
      <c r="B141" s="2072" t="s">
        <v>107</v>
      </c>
      <c r="C141" s="2058"/>
      <c r="D141" s="2058">
        <v>85232</v>
      </c>
      <c r="E141" s="2058"/>
      <c r="F141" s="2046" t="s">
        <v>343</v>
      </c>
      <c r="G141" s="2046"/>
      <c r="H141" s="2046"/>
      <c r="I141" s="2046"/>
      <c r="J141" s="2048"/>
      <c r="K141" s="2048"/>
      <c r="L141" s="2052"/>
      <c r="M141" s="2054"/>
      <c r="N141" s="2056"/>
      <c r="O141" s="2058"/>
      <c r="P141" s="2060"/>
      <c r="Q141" s="2060"/>
      <c r="R141" s="2060"/>
      <c r="S141" s="2060"/>
      <c r="T141" s="2060"/>
      <c r="U141" s="2060"/>
      <c r="V141" s="2060"/>
      <c r="W141" s="2060"/>
      <c r="X141" s="2060"/>
      <c r="Y141" s="2060"/>
      <c r="Z141" s="2068"/>
      <c r="AA141" s="2069"/>
    </row>
    <row r="142" spans="1:27">
      <c r="A142" s="2038"/>
      <c r="B142" s="2073"/>
      <c r="C142" s="2074"/>
      <c r="D142" s="2074"/>
      <c r="E142" s="2074"/>
      <c r="F142" s="2075"/>
      <c r="G142" s="2075"/>
      <c r="H142" s="2075"/>
      <c r="I142" s="2075"/>
      <c r="J142" s="2048"/>
      <c r="K142" s="2048"/>
      <c r="L142" s="2052"/>
      <c r="M142" s="2054"/>
      <c r="N142" s="2056"/>
      <c r="O142" s="2058"/>
      <c r="P142" s="2060"/>
      <c r="Q142" s="2060"/>
      <c r="R142" s="2060"/>
      <c r="S142" s="2060"/>
      <c r="T142" s="2060"/>
      <c r="U142" s="2060"/>
      <c r="V142" s="2060"/>
      <c r="W142" s="2060"/>
      <c r="X142" s="2060"/>
      <c r="Y142" s="2060"/>
      <c r="Z142" s="2070"/>
      <c r="AA142" s="2071"/>
    </row>
    <row r="143" spans="1:27">
      <c r="A143" s="2039"/>
      <c r="B143" s="2514" t="s">
        <v>377</v>
      </c>
      <c r="C143" s="2515"/>
      <c r="D143" s="2515"/>
      <c r="E143" s="2515"/>
      <c r="F143" s="2515"/>
      <c r="G143" s="2515"/>
      <c r="H143" s="2515"/>
      <c r="I143" s="2522"/>
      <c r="J143" s="2049"/>
      <c r="K143" s="2048"/>
      <c r="L143" s="2052"/>
      <c r="M143" s="2085" t="s">
        <v>143</v>
      </c>
      <c r="N143" s="2086">
        <f>SUM(P143:Y146)</f>
        <v>609378</v>
      </c>
      <c r="O143" s="2058" t="s">
        <v>112</v>
      </c>
      <c r="P143" s="2087">
        <v>298891</v>
      </c>
      <c r="Q143" s="2087">
        <v>297527</v>
      </c>
      <c r="R143" s="2087">
        <v>12960</v>
      </c>
      <c r="S143" s="2087">
        <v>0</v>
      </c>
      <c r="T143" s="2087">
        <v>0</v>
      </c>
      <c r="U143" s="2087">
        <v>0</v>
      </c>
      <c r="V143" s="2087">
        <v>0</v>
      </c>
      <c r="W143" s="2087">
        <v>0</v>
      </c>
      <c r="X143" s="2087">
        <v>0</v>
      </c>
      <c r="Y143" s="2087">
        <v>0</v>
      </c>
      <c r="Z143" s="2092"/>
      <c r="AA143" s="2093"/>
    </row>
    <row r="144" spans="1:27">
      <c r="A144" s="2039"/>
      <c r="B144" s="2523"/>
      <c r="C144" s="2524"/>
      <c r="D144" s="2524"/>
      <c r="E144" s="2524"/>
      <c r="F144" s="2524"/>
      <c r="G144" s="2524"/>
      <c r="H144" s="2524"/>
      <c r="I144" s="2525"/>
      <c r="J144" s="2049"/>
      <c r="K144" s="2048"/>
      <c r="L144" s="2052"/>
      <c r="M144" s="2085"/>
      <c r="N144" s="2058"/>
      <c r="O144" s="2058"/>
      <c r="P144" s="2087"/>
      <c r="Q144" s="2087"/>
      <c r="R144" s="2087"/>
      <c r="S144" s="2087"/>
      <c r="T144" s="2087"/>
      <c r="U144" s="2087"/>
      <c r="V144" s="2087"/>
      <c r="W144" s="2087"/>
      <c r="X144" s="2087"/>
      <c r="Y144" s="2087"/>
      <c r="Z144" s="2061"/>
      <c r="AA144" s="2062"/>
    </row>
    <row r="145" spans="1:27">
      <c r="A145" s="2039"/>
      <c r="B145" s="2523"/>
      <c r="C145" s="2524"/>
      <c r="D145" s="2524"/>
      <c r="E145" s="2524"/>
      <c r="F145" s="2524"/>
      <c r="G145" s="2524"/>
      <c r="H145" s="2524"/>
      <c r="I145" s="2525"/>
      <c r="J145" s="2049"/>
      <c r="K145" s="2048"/>
      <c r="L145" s="2089">
        <v>240785</v>
      </c>
      <c r="M145" s="2085"/>
      <c r="N145" s="2058"/>
      <c r="O145" s="2058"/>
      <c r="P145" s="2087"/>
      <c r="Q145" s="2087"/>
      <c r="R145" s="2087"/>
      <c r="S145" s="2087"/>
      <c r="T145" s="2087"/>
      <c r="U145" s="2087"/>
      <c r="V145" s="2087"/>
      <c r="W145" s="2087"/>
      <c r="X145" s="2087"/>
      <c r="Y145" s="2087"/>
      <c r="Z145" s="2061" t="s">
        <v>154</v>
      </c>
      <c r="AA145" s="2062">
        <f>P139</f>
        <v>351636</v>
      </c>
    </row>
    <row r="146" spans="1:27">
      <c r="A146" s="2039"/>
      <c r="B146" s="2518"/>
      <c r="C146" s="2519"/>
      <c r="D146" s="2519"/>
      <c r="E146" s="2519"/>
      <c r="F146" s="2519"/>
      <c r="G146" s="2519"/>
      <c r="H146" s="2519"/>
      <c r="I146" s="2526"/>
      <c r="J146" s="2049"/>
      <c r="K146" s="2048"/>
      <c r="L146" s="2089"/>
      <c r="M146" s="2085"/>
      <c r="N146" s="2058"/>
      <c r="O146" s="2058"/>
      <c r="P146" s="2087"/>
      <c r="Q146" s="2087"/>
      <c r="R146" s="2087"/>
      <c r="S146" s="2087"/>
      <c r="T146" s="2087"/>
      <c r="U146" s="2087"/>
      <c r="V146" s="2087"/>
      <c r="W146" s="2087"/>
      <c r="X146" s="2087"/>
      <c r="Y146" s="2087"/>
      <c r="Z146" s="2061"/>
      <c r="AA146" s="2062"/>
    </row>
    <row r="147" spans="1:27">
      <c r="A147" s="2039"/>
      <c r="B147" s="2028" t="s">
        <v>344</v>
      </c>
      <c r="C147" s="2029"/>
      <c r="D147" s="2029"/>
      <c r="E147" s="2029"/>
      <c r="F147" s="2029"/>
      <c r="G147" s="2029"/>
      <c r="H147" s="2029"/>
      <c r="I147" s="2030"/>
      <c r="J147" s="2048"/>
      <c r="K147" s="2048"/>
      <c r="L147" s="2089"/>
      <c r="M147" s="2034" t="s">
        <v>374</v>
      </c>
      <c r="N147" s="2086">
        <f>SUM(P147:Y150)</f>
        <v>107537</v>
      </c>
      <c r="O147" s="2058" t="s">
        <v>112</v>
      </c>
      <c r="P147" s="2087">
        <v>52745</v>
      </c>
      <c r="Q147" s="2087">
        <v>52505</v>
      </c>
      <c r="R147" s="2087">
        <v>2287</v>
      </c>
      <c r="S147" s="2087">
        <v>0</v>
      </c>
      <c r="T147" s="2087">
        <v>0</v>
      </c>
      <c r="U147" s="2087">
        <v>0</v>
      </c>
      <c r="V147" s="2087">
        <v>0</v>
      </c>
      <c r="W147" s="2087">
        <v>0</v>
      </c>
      <c r="X147" s="2087">
        <v>0</v>
      </c>
      <c r="Y147" s="2087">
        <v>0</v>
      </c>
      <c r="Z147" s="2061" t="s">
        <v>345</v>
      </c>
      <c r="AA147" s="2062">
        <f>Q139</f>
        <v>350032</v>
      </c>
    </row>
    <row r="148" spans="1:27">
      <c r="A148" s="2039"/>
      <c r="B148" s="2028"/>
      <c r="C148" s="2029"/>
      <c r="D148" s="2029"/>
      <c r="E148" s="2029"/>
      <c r="F148" s="2029"/>
      <c r="G148" s="2029"/>
      <c r="H148" s="2029"/>
      <c r="I148" s="2030"/>
      <c r="J148" s="2048"/>
      <c r="K148" s="2048"/>
      <c r="L148" s="2089"/>
      <c r="M148" s="2035"/>
      <c r="N148" s="2058"/>
      <c r="O148" s="2058"/>
      <c r="P148" s="2087"/>
      <c r="Q148" s="2087"/>
      <c r="R148" s="2087"/>
      <c r="S148" s="2087"/>
      <c r="T148" s="2087"/>
      <c r="U148" s="2087"/>
      <c r="V148" s="2087"/>
      <c r="W148" s="2087"/>
      <c r="X148" s="2087"/>
      <c r="Y148" s="2087"/>
      <c r="Z148" s="2061"/>
      <c r="AA148" s="2062"/>
    </row>
    <row r="149" spans="1:27">
      <c r="A149" s="2039"/>
      <c r="B149" s="2028"/>
      <c r="C149" s="2029"/>
      <c r="D149" s="2029"/>
      <c r="E149" s="2029"/>
      <c r="F149" s="2029"/>
      <c r="G149" s="2029"/>
      <c r="H149" s="2029"/>
      <c r="I149" s="2030"/>
      <c r="J149" s="2048"/>
      <c r="K149" s="2048"/>
      <c r="L149" s="2089"/>
      <c r="M149" s="2035"/>
      <c r="N149" s="2058"/>
      <c r="O149" s="2058"/>
      <c r="P149" s="2087"/>
      <c r="Q149" s="2087"/>
      <c r="R149" s="2087"/>
      <c r="S149" s="2087"/>
      <c r="T149" s="2087"/>
      <c r="U149" s="2087"/>
      <c r="V149" s="2087"/>
      <c r="W149" s="2087"/>
      <c r="X149" s="2087"/>
      <c r="Y149" s="2087"/>
      <c r="Z149" s="2061" t="s">
        <v>346</v>
      </c>
      <c r="AA149" s="2062">
        <f>R139</f>
        <v>15247</v>
      </c>
    </row>
    <row r="150" spans="1:27" ht="13.5" thickBot="1">
      <c r="A150" s="2040"/>
      <c r="B150" s="2031"/>
      <c r="C150" s="2032"/>
      <c r="D150" s="2032"/>
      <c r="E150" s="2032"/>
      <c r="F150" s="2032"/>
      <c r="G150" s="2032"/>
      <c r="H150" s="2032"/>
      <c r="I150" s="2033"/>
      <c r="J150" s="2050"/>
      <c r="K150" s="2050"/>
      <c r="L150" s="2090"/>
      <c r="M150" s="2036"/>
      <c r="N150" s="2091"/>
      <c r="O150" s="2091"/>
      <c r="P150" s="2088"/>
      <c r="Q150" s="2088"/>
      <c r="R150" s="2088"/>
      <c r="S150" s="2088"/>
      <c r="T150" s="2088"/>
      <c r="U150" s="2088"/>
      <c r="V150" s="2088"/>
      <c r="W150" s="2088"/>
      <c r="X150" s="2088"/>
      <c r="Y150" s="2088"/>
      <c r="Z150" s="2175"/>
      <c r="AA150" s="2062"/>
    </row>
    <row r="151" spans="1:27" ht="14.25" thickTop="1" thickBot="1">
      <c r="A151" s="1149"/>
      <c r="B151" s="1146"/>
      <c r="C151" s="1146"/>
      <c r="D151" s="1146"/>
      <c r="E151" s="1146"/>
      <c r="F151" s="1146"/>
      <c r="G151" s="1146"/>
      <c r="H151" s="1146"/>
      <c r="I151" s="1146"/>
      <c r="J151" s="1147"/>
      <c r="K151" s="1147"/>
      <c r="L151" s="814"/>
      <c r="M151" s="826"/>
      <c r="N151" s="1147"/>
      <c r="O151" s="1147"/>
      <c r="P151" s="656"/>
      <c r="Q151" s="656"/>
      <c r="R151" s="656"/>
      <c r="S151" s="656"/>
      <c r="T151" s="656"/>
      <c r="U151" s="656"/>
      <c r="V151" s="656"/>
      <c r="W151" s="656"/>
      <c r="X151" s="656"/>
      <c r="Y151" s="656"/>
      <c r="Z151" s="812"/>
      <c r="AA151" s="827"/>
    </row>
    <row r="152" spans="1:27" ht="13.5" thickTop="1">
      <c r="A152" s="2037">
        <v>9</v>
      </c>
      <c r="B152" s="2041" t="s">
        <v>101</v>
      </c>
      <c r="C152" s="2042"/>
      <c r="D152" s="2042">
        <v>852</v>
      </c>
      <c r="E152" s="2042"/>
      <c r="F152" s="2045" t="s">
        <v>150</v>
      </c>
      <c r="G152" s="2045"/>
      <c r="H152" s="2045"/>
      <c r="I152" s="2045"/>
      <c r="J152" s="2047">
        <v>2012</v>
      </c>
      <c r="K152" s="2047">
        <v>2013</v>
      </c>
      <c r="L152" s="2051">
        <v>847799</v>
      </c>
      <c r="M152" s="2053" t="s">
        <v>120</v>
      </c>
      <c r="N152" s="2055">
        <f>SUM(N156:N163)</f>
        <v>511859</v>
      </c>
      <c r="O152" s="2057" t="s">
        <v>112</v>
      </c>
      <c r="P152" s="2059">
        <f>SUM(P156:P163)</f>
        <v>511859</v>
      </c>
      <c r="Q152" s="2059">
        <f>SUM(Q156:Q163)</f>
        <v>0</v>
      </c>
      <c r="R152" s="2059">
        <f>SUM(R156:R163)</f>
        <v>0</v>
      </c>
      <c r="S152" s="2059">
        <f t="shared" ref="S152:Y152" si="10">SUM(S156:S163)</f>
        <v>0</v>
      </c>
      <c r="T152" s="2059">
        <f t="shared" si="10"/>
        <v>0</v>
      </c>
      <c r="U152" s="2059">
        <f t="shared" si="10"/>
        <v>0</v>
      </c>
      <c r="V152" s="2059">
        <f t="shared" si="10"/>
        <v>0</v>
      </c>
      <c r="W152" s="2059">
        <f t="shared" si="10"/>
        <v>0</v>
      </c>
      <c r="X152" s="2059">
        <f t="shared" si="10"/>
        <v>0</v>
      </c>
      <c r="Y152" s="2059">
        <f t="shared" si="10"/>
        <v>0</v>
      </c>
      <c r="Z152" s="2066">
        <f>SUM(AA156:AA163)</f>
        <v>511859</v>
      </c>
      <c r="AA152" s="2067"/>
    </row>
    <row r="153" spans="1:27">
      <c r="A153" s="2038"/>
      <c r="B153" s="2043"/>
      <c r="C153" s="2044"/>
      <c r="D153" s="2044"/>
      <c r="E153" s="2044"/>
      <c r="F153" s="2046"/>
      <c r="G153" s="2046"/>
      <c r="H153" s="2046"/>
      <c r="I153" s="2046"/>
      <c r="J153" s="2048"/>
      <c r="K153" s="2048"/>
      <c r="L153" s="2052"/>
      <c r="M153" s="2054"/>
      <c r="N153" s="2056"/>
      <c r="O153" s="2058"/>
      <c r="P153" s="2060"/>
      <c r="Q153" s="2060"/>
      <c r="R153" s="2060"/>
      <c r="S153" s="2060"/>
      <c r="T153" s="2060"/>
      <c r="U153" s="2060"/>
      <c r="V153" s="2060"/>
      <c r="W153" s="2060"/>
      <c r="X153" s="2060"/>
      <c r="Y153" s="2060"/>
      <c r="Z153" s="2068"/>
      <c r="AA153" s="2069"/>
    </row>
    <row r="154" spans="1:27">
      <c r="A154" s="2038"/>
      <c r="B154" s="2072" t="s">
        <v>107</v>
      </c>
      <c r="C154" s="2058"/>
      <c r="D154" s="2058">
        <v>85295</v>
      </c>
      <c r="E154" s="2058"/>
      <c r="F154" s="2046" t="s">
        <v>130</v>
      </c>
      <c r="G154" s="2046"/>
      <c r="H154" s="2046"/>
      <c r="I154" s="2046"/>
      <c r="J154" s="2048"/>
      <c r="K154" s="2048"/>
      <c r="L154" s="2052"/>
      <c r="M154" s="2054"/>
      <c r="N154" s="2056"/>
      <c r="O154" s="2058"/>
      <c r="P154" s="2060"/>
      <c r="Q154" s="2060"/>
      <c r="R154" s="2060"/>
      <c r="S154" s="2060"/>
      <c r="T154" s="2060"/>
      <c r="U154" s="2060"/>
      <c r="V154" s="2060"/>
      <c r="W154" s="2060"/>
      <c r="X154" s="2060"/>
      <c r="Y154" s="2060"/>
      <c r="Z154" s="2068"/>
      <c r="AA154" s="2069"/>
    </row>
    <row r="155" spans="1:27">
      <c r="A155" s="2038"/>
      <c r="B155" s="2073"/>
      <c r="C155" s="2074"/>
      <c r="D155" s="2074"/>
      <c r="E155" s="2074"/>
      <c r="F155" s="2075"/>
      <c r="G155" s="2075"/>
      <c r="H155" s="2075"/>
      <c r="I155" s="2075"/>
      <c r="J155" s="2048"/>
      <c r="K155" s="2048"/>
      <c r="L155" s="2052"/>
      <c r="M155" s="2054"/>
      <c r="N155" s="2056"/>
      <c r="O155" s="2058"/>
      <c r="P155" s="2060"/>
      <c r="Q155" s="2060"/>
      <c r="R155" s="2060"/>
      <c r="S155" s="2060"/>
      <c r="T155" s="2060"/>
      <c r="U155" s="2060"/>
      <c r="V155" s="2060"/>
      <c r="W155" s="2060"/>
      <c r="X155" s="2060"/>
      <c r="Y155" s="2060"/>
      <c r="Z155" s="2070"/>
      <c r="AA155" s="2071"/>
    </row>
    <row r="156" spans="1:27">
      <c r="A156" s="2039"/>
      <c r="B156" s="2514" t="s">
        <v>361</v>
      </c>
      <c r="C156" s="2515"/>
      <c r="D156" s="2515"/>
      <c r="E156" s="2515"/>
      <c r="F156" s="2515"/>
      <c r="G156" s="2515"/>
      <c r="H156" s="2515"/>
      <c r="I156" s="2522"/>
      <c r="J156" s="2049"/>
      <c r="K156" s="2048"/>
      <c r="L156" s="2052"/>
      <c r="M156" s="2085" t="s">
        <v>143</v>
      </c>
      <c r="N156" s="2086">
        <f>SUM(P156:Y159)</f>
        <v>435080.15</v>
      </c>
      <c r="O156" s="2058" t="s">
        <v>112</v>
      </c>
      <c r="P156" s="2087">
        <v>435080.15</v>
      </c>
      <c r="Q156" s="2087">
        <v>0</v>
      </c>
      <c r="R156" s="2087">
        <v>0</v>
      </c>
      <c r="S156" s="2087">
        <v>0</v>
      </c>
      <c r="T156" s="2087">
        <v>0</v>
      </c>
      <c r="U156" s="2087">
        <v>0</v>
      </c>
      <c r="V156" s="2087">
        <v>0</v>
      </c>
      <c r="W156" s="2087">
        <v>0</v>
      </c>
      <c r="X156" s="2087">
        <v>0</v>
      </c>
      <c r="Y156" s="2087">
        <v>0</v>
      </c>
      <c r="Z156" s="2092"/>
      <c r="AA156" s="2093"/>
    </row>
    <row r="157" spans="1:27">
      <c r="A157" s="2039"/>
      <c r="B157" s="2523"/>
      <c r="C157" s="2524"/>
      <c r="D157" s="2524"/>
      <c r="E157" s="2524"/>
      <c r="F157" s="2524"/>
      <c r="G157" s="2524"/>
      <c r="H157" s="2524"/>
      <c r="I157" s="2525"/>
      <c r="J157" s="2049"/>
      <c r="K157" s="2048"/>
      <c r="L157" s="2052"/>
      <c r="M157" s="2085"/>
      <c r="N157" s="2058"/>
      <c r="O157" s="2058"/>
      <c r="P157" s="2087"/>
      <c r="Q157" s="2087"/>
      <c r="R157" s="2087"/>
      <c r="S157" s="2087"/>
      <c r="T157" s="2087"/>
      <c r="U157" s="2087"/>
      <c r="V157" s="2087"/>
      <c r="W157" s="2087"/>
      <c r="X157" s="2087"/>
      <c r="Y157" s="2087"/>
      <c r="Z157" s="2061"/>
      <c r="AA157" s="2062"/>
    </row>
    <row r="158" spans="1:27">
      <c r="A158" s="2039"/>
      <c r="B158" s="2523"/>
      <c r="C158" s="2524"/>
      <c r="D158" s="2524"/>
      <c r="E158" s="2524"/>
      <c r="F158" s="2524"/>
      <c r="G158" s="2524"/>
      <c r="H158" s="2524"/>
      <c r="I158" s="2525"/>
      <c r="J158" s="2049"/>
      <c r="K158" s="2048"/>
      <c r="L158" s="2089">
        <v>335940</v>
      </c>
      <c r="M158" s="2085"/>
      <c r="N158" s="2058"/>
      <c r="O158" s="2058"/>
      <c r="P158" s="2087"/>
      <c r="Q158" s="2087"/>
      <c r="R158" s="2087"/>
      <c r="S158" s="2087"/>
      <c r="T158" s="2087"/>
      <c r="U158" s="2087"/>
      <c r="V158" s="2087"/>
      <c r="W158" s="2087"/>
      <c r="X158" s="2087"/>
      <c r="Y158" s="2087"/>
      <c r="Z158" s="2061" t="s">
        <v>154</v>
      </c>
      <c r="AA158" s="2062">
        <f>P152</f>
        <v>511859</v>
      </c>
    </row>
    <row r="159" spans="1:27">
      <c r="A159" s="2039"/>
      <c r="B159" s="2518"/>
      <c r="C159" s="2519"/>
      <c r="D159" s="2519"/>
      <c r="E159" s="2519"/>
      <c r="F159" s="2519"/>
      <c r="G159" s="2519"/>
      <c r="H159" s="2519"/>
      <c r="I159" s="2526"/>
      <c r="J159" s="2049"/>
      <c r="K159" s="2048"/>
      <c r="L159" s="2089"/>
      <c r="M159" s="2085"/>
      <c r="N159" s="2058"/>
      <c r="O159" s="2058"/>
      <c r="P159" s="2087"/>
      <c r="Q159" s="2087"/>
      <c r="R159" s="2087"/>
      <c r="S159" s="2087"/>
      <c r="T159" s="2087"/>
      <c r="U159" s="2087"/>
      <c r="V159" s="2087"/>
      <c r="W159" s="2087"/>
      <c r="X159" s="2087"/>
      <c r="Y159" s="2087"/>
      <c r="Z159" s="2061"/>
      <c r="AA159" s="2062"/>
    </row>
    <row r="160" spans="1:27">
      <c r="A160" s="2039"/>
      <c r="B160" s="2028" t="s">
        <v>362</v>
      </c>
      <c r="C160" s="2029"/>
      <c r="D160" s="2029"/>
      <c r="E160" s="2029"/>
      <c r="F160" s="2029"/>
      <c r="G160" s="2029"/>
      <c r="H160" s="2029"/>
      <c r="I160" s="2030"/>
      <c r="J160" s="2048"/>
      <c r="K160" s="2048"/>
      <c r="L160" s="2089"/>
      <c r="M160" s="2034" t="s">
        <v>373</v>
      </c>
      <c r="N160" s="2086">
        <f>SUM(P160:Y163)</f>
        <v>76778.850000000006</v>
      </c>
      <c r="O160" s="2058" t="s">
        <v>112</v>
      </c>
      <c r="P160" s="2087">
        <v>76778.850000000006</v>
      </c>
      <c r="Q160" s="2087">
        <v>0</v>
      </c>
      <c r="R160" s="2087">
        <v>0</v>
      </c>
      <c r="S160" s="2087">
        <v>0</v>
      </c>
      <c r="T160" s="2087">
        <v>0</v>
      </c>
      <c r="U160" s="2087">
        <v>0</v>
      </c>
      <c r="V160" s="2087">
        <v>0</v>
      </c>
      <c r="W160" s="2087">
        <v>0</v>
      </c>
      <c r="X160" s="2087">
        <v>0</v>
      </c>
      <c r="Y160" s="2087">
        <v>0</v>
      </c>
      <c r="Z160" s="2061" t="s">
        <v>345</v>
      </c>
      <c r="AA160" s="2062">
        <f>Q152</f>
        <v>0</v>
      </c>
    </row>
    <row r="161" spans="1:27">
      <c r="A161" s="2039"/>
      <c r="B161" s="2028"/>
      <c r="C161" s="2029"/>
      <c r="D161" s="2029"/>
      <c r="E161" s="2029"/>
      <c r="F161" s="2029"/>
      <c r="G161" s="2029"/>
      <c r="H161" s="2029"/>
      <c r="I161" s="2030"/>
      <c r="J161" s="2048"/>
      <c r="K161" s="2048"/>
      <c r="L161" s="2089"/>
      <c r="M161" s="2035"/>
      <c r="N161" s="2058"/>
      <c r="O161" s="2058"/>
      <c r="P161" s="2087"/>
      <c r="Q161" s="2087"/>
      <c r="R161" s="2087"/>
      <c r="S161" s="2087"/>
      <c r="T161" s="2087"/>
      <c r="U161" s="2087"/>
      <c r="V161" s="2087"/>
      <c r="W161" s="2087"/>
      <c r="X161" s="2087"/>
      <c r="Y161" s="2087"/>
      <c r="Z161" s="2061"/>
      <c r="AA161" s="2062"/>
    </row>
    <row r="162" spans="1:27">
      <c r="A162" s="2039"/>
      <c r="B162" s="2028"/>
      <c r="C162" s="2029"/>
      <c r="D162" s="2029"/>
      <c r="E162" s="2029"/>
      <c r="F162" s="2029"/>
      <c r="G162" s="2029"/>
      <c r="H162" s="2029"/>
      <c r="I162" s="2030"/>
      <c r="J162" s="2048"/>
      <c r="K162" s="2048"/>
      <c r="L162" s="2089"/>
      <c r="M162" s="2035"/>
      <c r="N162" s="2058"/>
      <c r="O162" s="2058"/>
      <c r="P162" s="2087"/>
      <c r="Q162" s="2087"/>
      <c r="R162" s="2087"/>
      <c r="S162" s="2087"/>
      <c r="T162" s="2087"/>
      <c r="U162" s="2087"/>
      <c r="V162" s="2087"/>
      <c r="W162" s="2087"/>
      <c r="X162" s="2087"/>
      <c r="Y162" s="2087"/>
      <c r="Z162" s="2061" t="s">
        <v>346</v>
      </c>
      <c r="AA162" s="2062">
        <f>R152</f>
        <v>0</v>
      </c>
    </row>
    <row r="163" spans="1:27" ht="13.5" thickBot="1">
      <c r="A163" s="2040"/>
      <c r="B163" s="2031"/>
      <c r="C163" s="2032"/>
      <c r="D163" s="2032"/>
      <c r="E163" s="2032"/>
      <c r="F163" s="2032"/>
      <c r="G163" s="2032"/>
      <c r="H163" s="2032"/>
      <c r="I163" s="2033"/>
      <c r="J163" s="2050"/>
      <c r="K163" s="2050"/>
      <c r="L163" s="2090"/>
      <c r="M163" s="2036"/>
      <c r="N163" s="2091"/>
      <c r="O163" s="2091"/>
      <c r="P163" s="2088"/>
      <c r="Q163" s="2088"/>
      <c r="R163" s="2088"/>
      <c r="S163" s="2088"/>
      <c r="T163" s="2088"/>
      <c r="U163" s="2088"/>
      <c r="V163" s="2088"/>
      <c r="W163" s="2088"/>
      <c r="X163" s="2088"/>
      <c r="Y163" s="2088"/>
      <c r="Z163" s="2175"/>
      <c r="AA163" s="2196"/>
    </row>
    <row r="164" spans="1:27" ht="14.25" thickTop="1" thickBot="1">
      <c r="A164" s="1149"/>
      <c r="B164" s="1146"/>
      <c r="C164" s="1146"/>
      <c r="D164" s="1146"/>
      <c r="E164" s="1146"/>
      <c r="F164" s="1146"/>
      <c r="G164" s="1146"/>
      <c r="H164" s="1146"/>
      <c r="I164" s="1146"/>
      <c r="J164" s="1147"/>
      <c r="K164" s="1147"/>
      <c r="L164" s="814"/>
      <c r="M164" s="826"/>
      <c r="N164" s="1147"/>
      <c r="O164" s="1147"/>
      <c r="P164" s="656"/>
      <c r="Q164" s="656"/>
      <c r="R164" s="656"/>
      <c r="S164" s="656"/>
      <c r="T164" s="656"/>
      <c r="U164" s="656"/>
      <c r="V164" s="656"/>
      <c r="W164" s="656"/>
      <c r="X164" s="656"/>
      <c r="Y164" s="656"/>
      <c r="Z164" s="812"/>
      <c r="AA164" s="813"/>
    </row>
    <row r="165" spans="1:27" ht="13.5" thickTop="1">
      <c r="A165" s="2037">
        <v>10</v>
      </c>
      <c r="B165" s="2041" t="s">
        <v>101</v>
      </c>
      <c r="C165" s="2042"/>
      <c r="D165" s="2139" t="s">
        <v>165</v>
      </c>
      <c r="E165" s="2140"/>
      <c r="F165" s="2141"/>
      <c r="G165" s="2141"/>
      <c r="H165" s="2141"/>
      <c r="I165" s="2142"/>
      <c r="J165" s="2047">
        <v>2012</v>
      </c>
      <c r="K165" s="2047">
        <v>2013</v>
      </c>
      <c r="L165" s="2051">
        <f>SUM(N165,L171)</f>
        <v>4824800</v>
      </c>
      <c r="M165" s="2053" t="s">
        <v>120</v>
      </c>
      <c r="N165" s="2055">
        <f>SUM(N169:N176)</f>
        <v>4824800</v>
      </c>
      <c r="O165" s="2057" t="s">
        <v>112</v>
      </c>
      <c r="P165" s="2059">
        <f>SUM(P169:P176)</f>
        <v>4824800</v>
      </c>
      <c r="Q165" s="2059">
        <f>SUM(Q169:Q176)</f>
        <v>0</v>
      </c>
      <c r="R165" s="2059">
        <f>SUM(R169:R176)</f>
        <v>0</v>
      </c>
      <c r="S165" s="2059">
        <f t="shared" ref="S165:Y165" si="11">SUM(S169:S176)</f>
        <v>0</v>
      </c>
      <c r="T165" s="2059">
        <f t="shared" si="11"/>
        <v>0</v>
      </c>
      <c r="U165" s="2059">
        <f t="shared" si="11"/>
        <v>0</v>
      </c>
      <c r="V165" s="2059">
        <f t="shared" si="11"/>
        <v>0</v>
      </c>
      <c r="W165" s="2059">
        <f t="shared" si="11"/>
        <v>0</v>
      </c>
      <c r="X165" s="2059">
        <f t="shared" si="11"/>
        <v>0</v>
      </c>
      <c r="Y165" s="2059">
        <f t="shared" si="11"/>
        <v>0</v>
      </c>
      <c r="Z165" s="2066">
        <f>SUM(AA169:AA176)</f>
        <v>4824800</v>
      </c>
      <c r="AA165" s="2067"/>
    </row>
    <row r="166" spans="1:27">
      <c r="A166" s="2038"/>
      <c r="B166" s="2043"/>
      <c r="C166" s="2044"/>
      <c r="D166" s="2143"/>
      <c r="E166" s="2144"/>
      <c r="F166" s="2145"/>
      <c r="G166" s="2145"/>
      <c r="H166" s="2145"/>
      <c r="I166" s="2146"/>
      <c r="J166" s="2048"/>
      <c r="K166" s="2048"/>
      <c r="L166" s="2052"/>
      <c r="M166" s="2054"/>
      <c r="N166" s="2056"/>
      <c r="O166" s="2058"/>
      <c r="P166" s="2060"/>
      <c r="Q166" s="2060"/>
      <c r="R166" s="2060"/>
      <c r="S166" s="2060"/>
      <c r="T166" s="2060"/>
      <c r="U166" s="2060"/>
      <c r="V166" s="2060"/>
      <c r="W166" s="2060"/>
      <c r="X166" s="2060"/>
      <c r="Y166" s="2060"/>
      <c r="Z166" s="2068"/>
      <c r="AA166" s="2069"/>
    </row>
    <row r="167" spans="1:27">
      <c r="A167" s="2038"/>
      <c r="B167" s="2072" t="s">
        <v>107</v>
      </c>
      <c r="C167" s="2058"/>
      <c r="D167" s="2147"/>
      <c r="E167" s="2145"/>
      <c r="F167" s="2145"/>
      <c r="G167" s="2145"/>
      <c r="H167" s="2145"/>
      <c r="I167" s="2146"/>
      <c r="J167" s="2048"/>
      <c r="K167" s="2048"/>
      <c r="L167" s="2052"/>
      <c r="M167" s="2054"/>
      <c r="N167" s="2056"/>
      <c r="O167" s="2058"/>
      <c r="P167" s="2060"/>
      <c r="Q167" s="2060"/>
      <c r="R167" s="2060"/>
      <c r="S167" s="2060"/>
      <c r="T167" s="2060"/>
      <c r="U167" s="2060"/>
      <c r="V167" s="2060"/>
      <c r="W167" s="2060"/>
      <c r="X167" s="2060"/>
      <c r="Y167" s="2060"/>
      <c r="Z167" s="2068"/>
      <c r="AA167" s="2069"/>
    </row>
    <row r="168" spans="1:27">
      <c r="A168" s="2038"/>
      <c r="B168" s="2073"/>
      <c r="C168" s="2074"/>
      <c r="D168" s="2148"/>
      <c r="E168" s="2149"/>
      <c r="F168" s="2149"/>
      <c r="G168" s="2149"/>
      <c r="H168" s="2149"/>
      <c r="I168" s="2150"/>
      <c r="J168" s="2048"/>
      <c r="K168" s="2048"/>
      <c r="L168" s="2052"/>
      <c r="M168" s="2054"/>
      <c r="N168" s="2056"/>
      <c r="O168" s="2058"/>
      <c r="P168" s="2060"/>
      <c r="Q168" s="2060"/>
      <c r="R168" s="2060"/>
      <c r="S168" s="2060"/>
      <c r="T168" s="2060"/>
      <c r="U168" s="2060"/>
      <c r="V168" s="2060"/>
      <c r="W168" s="2060"/>
      <c r="X168" s="2060"/>
      <c r="Y168" s="2060"/>
      <c r="Z168" s="2070"/>
      <c r="AA168" s="2071"/>
    </row>
    <row r="169" spans="1:27">
      <c r="A169" s="2039"/>
      <c r="B169" s="2514" t="s">
        <v>390</v>
      </c>
      <c r="C169" s="2515"/>
      <c r="D169" s="2515"/>
      <c r="E169" s="2515"/>
      <c r="F169" s="2515"/>
      <c r="G169" s="2515"/>
      <c r="H169" s="2515"/>
      <c r="I169" s="2522"/>
      <c r="J169" s="2049"/>
      <c r="K169" s="2048"/>
      <c r="L169" s="2052"/>
      <c r="M169" s="2085" t="s">
        <v>143</v>
      </c>
      <c r="N169" s="2086">
        <f>SUM(P169:Y172)</f>
        <v>0</v>
      </c>
      <c r="O169" s="2058" t="s">
        <v>112</v>
      </c>
      <c r="P169" s="2087">
        <v>0</v>
      </c>
      <c r="Q169" s="2087">
        <v>0</v>
      </c>
      <c r="R169" s="2087">
        <v>0</v>
      </c>
      <c r="S169" s="2087">
        <v>0</v>
      </c>
      <c r="T169" s="2087">
        <v>0</v>
      </c>
      <c r="U169" s="2087">
        <v>0</v>
      </c>
      <c r="V169" s="2087">
        <v>0</v>
      </c>
      <c r="W169" s="2087">
        <v>0</v>
      </c>
      <c r="X169" s="2087">
        <v>0</v>
      </c>
      <c r="Y169" s="2087">
        <v>0</v>
      </c>
      <c r="Z169" s="2092"/>
      <c r="AA169" s="2093"/>
    </row>
    <row r="170" spans="1:27">
      <c r="A170" s="2039"/>
      <c r="B170" s="2523"/>
      <c r="C170" s="2524"/>
      <c r="D170" s="2524"/>
      <c r="E170" s="2524"/>
      <c r="F170" s="2524"/>
      <c r="G170" s="2524"/>
      <c r="H170" s="2524"/>
      <c r="I170" s="2525"/>
      <c r="J170" s="2049"/>
      <c r="K170" s="2048"/>
      <c r="L170" s="2052"/>
      <c r="M170" s="2085"/>
      <c r="N170" s="2058"/>
      <c r="O170" s="2058"/>
      <c r="P170" s="2087"/>
      <c r="Q170" s="2087"/>
      <c r="R170" s="2087"/>
      <c r="S170" s="2087"/>
      <c r="T170" s="2087"/>
      <c r="U170" s="2087"/>
      <c r="V170" s="2087"/>
      <c r="W170" s="2087"/>
      <c r="X170" s="2087"/>
      <c r="Y170" s="2087"/>
      <c r="Z170" s="2061"/>
      <c r="AA170" s="2062"/>
    </row>
    <row r="171" spans="1:27">
      <c r="A171" s="2039"/>
      <c r="B171" s="2523"/>
      <c r="C171" s="2524"/>
      <c r="D171" s="2524"/>
      <c r="E171" s="2524"/>
      <c r="F171" s="2524"/>
      <c r="G171" s="2524"/>
      <c r="H171" s="2524"/>
      <c r="I171" s="2525"/>
      <c r="J171" s="2049"/>
      <c r="K171" s="2048"/>
      <c r="L171" s="2089">
        <v>0</v>
      </c>
      <c r="M171" s="2085"/>
      <c r="N171" s="2058"/>
      <c r="O171" s="2058"/>
      <c r="P171" s="2087"/>
      <c r="Q171" s="2087"/>
      <c r="R171" s="2087"/>
      <c r="S171" s="2087"/>
      <c r="T171" s="2087"/>
      <c r="U171" s="2087"/>
      <c r="V171" s="2087"/>
      <c r="W171" s="2087"/>
      <c r="X171" s="2087"/>
      <c r="Y171" s="2087"/>
      <c r="Z171" s="2061" t="s">
        <v>154</v>
      </c>
      <c r="AA171" s="2062">
        <f>P165</f>
        <v>4824800</v>
      </c>
    </row>
    <row r="172" spans="1:27">
      <c r="A172" s="2039"/>
      <c r="B172" s="2518"/>
      <c r="C172" s="2519"/>
      <c r="D172" s="2519"/>
      <c r="E172" s="2519"/>
      <c r="F172" s="2519"/>
      <c r="G172" s="2519"/>
      <c r="H172" s="2519"/>
      <c r="I172" s="2526"/>
      <c r="J172" s="2049"/>
      <c r="K172" s="2048"/>
      <c r="L172" s="2089"/>
      <c r="M172" s="2085"/>
      <c r="N172" s="2058"/>
      <c r="O172" s="2058"/>
      <c r="P172" s="2087"/>
      <c r="Q172" s="2087"/>
      <c r="R172" s="2087"/>
      <c r="S172" s="2087"/>
      <c r="T172" s="2087"/>
      <c r="U172" s="2087"/>
      <c r="V172" s="2087"/>
      <c r="W172" s="2087"/>
      <c r="X172" s="2087"/>
      <c r="Y172" s="2087"/>
      <c r="Z172" s="2061"/>
      <c r="AA172" s="2062"/>
    </row>
    <row r="173" spans="1:27">
      <c r="A173" s="2039"/>
      <c r="B173" s="2028" t="s">
        <v>391</v>
      </c>
      <c r="C173" s="2029"/>
      <c r="D173" s="2029"/>
      <c r="E173" s="2029"/>
      <c r="F173" s="2029"/>
      <c r="G173" s="2029"/>
      <c r="H173" s="2029"/>
      <c r="I173" s="2030"/>
      <c r="J173" s="2048"/>
      <c r="K173" s="2048"/>
      <c r="L173" s="2089"/>
      <c r="M173" s="2034" t="s">
        <v>123</v>
      </c>
      <c r="N173" s="2086">
        <f>SUM(P173:Y176)</f>
        <v>4824800</v>
      </c>
      <c r="O173" s="2058" t="s">
        <v>112</v>
      </c>
      <c r="P173" s="2087">
        <v>4824800</v>
      </c>
      <c r="Q173" s="2087">
        <v>0</v>
      </c>
      <c r="R173" s="2087">
        <v>0</v>
      </c>
      <c r="S173" s="2087">
        <v>0</v>
      </c>
      <c r="T173" s="2087">
        <v>0</v>
      </c>
      <c r="U173" s="2087">
        <v>0</v>
      </c>
      <c r="V173" s="2087">
        <v>0</v>
      </c>
      <c r="W173" s="2087">
        <v>0</v>
      </c>
      <c r="X173" s="2087">
        <v>0</v>
      </c>
      <c r="Y173" s="2087">
        <v>0</v>
      </c>
      <c r="Z173" s="2061"/>
      <c r="AA173" s="2062"/>
    </row>
    <row r="174" spans="1:27">
      <c r="A174" s="2039"/>
      <c r="B174" s="2028"/>
      <c r="C174" s="2029"/>
      <c r="D174" s="2029"/>
      <c r="E174" s="2029"/>
      <c r="F174" s="2029"/>
      <c r="G174" s="2029"/>
      <c r="H174" s="2029"/>
      <c r="I174" s="2030"/>
      <c r="J174" s="2048"/>
      <c r="K174" s="2048"/>
      <c r="L174" s="2089"/>
      <c r="M174" s="2035"/>
      <c r="N174" s="2058"/>
      <c r="O174" s="2058"/>
      <c r="P174" s="2087"/>
      <c r="Q174" s="2087"/>
      <c r="R174" s="2087"/>
      <c r="S174" s="2087"/>
      <c r="T174" s="2087"/>
      <c r="U174" s="2087"/>
      <c r="V174" s="2087"/>
      <c r="W174" s="2087"/>
      <c r="X174" s="2087"/>
      <c r="Y174" s="2087"/>
      <c r="Z174" s="2061"/>
      <c r="AA174" s="2062"/>
    </row>
    <row r="175" spans="1:27">
      <c r="A175" s="2039"/>
      <c r="B175" s="2028"/>
      <c r="C175" s="2029"/>
      <c r="D175" s="2029"/>
      <c r="E175" s="2029"/>
      <c r="F175" s="2029"/>
      <c r="G175" s="2029"/>
      <c r="H175" s="2029"/>
      <c r="I175" s="2030"/>
      <c r="J175" s="2048"/>
      <c r="K175" s="2048"/>
      <c r="L175" s="2089"/>
      <c r="M175" s="2035"/>
      <c r="N175" s="2058"/>
      <c r="O175" s="2058"/>
      <c r="P175" s="2087"/>
      <c r="Q175" s="2087"/>
      <c r="R175" s="2087"/>
      <c r="S175" s="2087"/>
      <c r="T175" s="2087"/>
      <c r="U175" s="2087"/>
      <c r="V175" s="2087"/>
      <c r="W175" s="2087"/>
      <c r="X175" s="2087"/>
      <c r="Y175" s="2087"/>
      <c r="Z175" s="2063"/>
      <c r="AA175" s="2062"/>
    </row>
    <row r="176" spans="1:27" ht="13.5" thickBot="1">
      <c r="A176" s="2040"/>
      <c r="B176" s="2031"/>
      <c r="C176" s="2032"/>
      <c r="D176" s="2032"/>
      <c r="E176" s="2032"/>
      <c r="F176" s="2032"/>
      <c r="G176" s="2032"/>
      <c r="H176" s="2032"/>
      <c r="I176" s="2033"/>
      <c r="J176" s="2050"/>
      <c r="K176" s="2050"/>
      <c r="L176" s="2090"/>
      <c r="M176" s="2036"/>
      <c r="N176" s="2091"/>
      <c r="O176" s="2091"/>
      <c r="P176" s="2088"/>
      <c r="Q176" s="2088"/>
      <c r="R176" s="2088"/>
      <c r="S176" s="2088"/>
      <c r="T176" s="2088"/>
      <c r="U176" s="2088"/>
      <c r="V176" s="2088"/>
      <c r="W176" s="2088"/>
      <c r="X176" s="2088"/>
      <c r="Y176" s="2088"/>
      <c r="Z176" s="2064"/>
      <c r="AA176" s="2065"/>
    </row>
    <row r="177" spans="1:27" ht="14.25" thickTop="1" thickBot="1">
      <c r="A177" s="1149"/>
      <c r="B177" s="1146"/>
      <c r="C177" s="1146"/>
      <c r="D177" s="1146"/>
      <c r="E177" s="1146"/>
      <c r="F177" s="1146"/>
      <c r="G177" s="1146"/>
      <c r="H177" s="1146"/>
      <c r="I177" s="1146"/>
      <c r="J177" s="1147"/>
      <c r="K177" s="1147"/>
      <c r="L177" s="814"/>
      <c r="M177" s="826"/>
      <c r="N177" s="1147"/>
      <c r="O177" s="1147"/>
      <c r="P177" s="656"/>
      <c r="Q177" s="656"/>
      <c r="R177" s="656"/>
      <c r="S177" s="656"/>
      <c r="T177" s="656"/>
      <c r="U177" s="656"/>
      <c r="V177" s="656"/>
      <c r="W177" s="656"/>
      <c r="X177" s="656"/>
      <c r="Y177" s="656"/>
      <c r="Z177" s="812"/>
      <c r="AA177" s="813"/>
    </row>
    <row r="178" spans="1:27" ht="13.5" thickTop="1">
      <c r="A178" s="2037">
        <v>11</v>
      </c>
      <c r="B178" s="2041" t="s">
        <v>101</v>
      </c>
      <c r="C178" s="2042"/>
      <c r="D178" s="2042">
        <v>600</v>
      </c>
      <c r="E178" s="2042"/>
      <c r="F178" s="2045" t="s">
        <v>124</v>
      </c>
      <c r="G178" s="2045"/>
      <c r="H178" s="2045"/>
      <c r="I178" s="2045"/>
      <c r="J178" s="2047">
        <v>2013</v>
      </c>
      <c r="K178" s="2047">
        <v>2014</v>
      </c>
      <c r="L178" s="2051">
        <f>SUM(N178,L184)</f>
        <v>2993000</v>
      </c>
      <c r="M178" s="2053" t="s">
        <v>120</v>
      </c>
      <c r="N178" s="2055">
        <f>SUM(N182:N189)</f>
        <v>2993000</v>
      </c>
      <c r="O178" s="2057" t="s">
        <v>112</v>
      </c>
      <c r="P178" s="2059">
        <f>SUM(P182:P189)</f>
        <v>533000</v>
      </c>
      <c r="Q178" s="2059">
        <f>SUM(Q182:Q189)</f>
        <v>2460000</v>
      </c>
      <c r="R178" s="2059">
        <f>SUM(R182:R189)</f>
        <v>0</v>
      </c>
      <c r="S178" s="2059">
        <f t="shared" ref="S178:Y178" si="12">SUM(S182:S189)</f>
        <v>0</v>
      </c>
      <c r="T178" s="2059">
        <f t="shared" si="12"/>
        <v>0</v>
      </c>
      <c r="U178" s="2059">
        <f t="shared" si="12"/>
        <v>0</v>
      </c>
      <c r="V178" s="2059">
        <f t="shared" si="12"/>
        <v>0</v>
      </c>
      <c r="W178" s="2059">
        <f t="shared" si="12"/>
        <v>0</v>
      </c>
      <c r="X178" s="2059">
        <f t="shared" si="12"/>
        <v>0</v>
      </c>
      <c r="Y178" s="2059">
        <f t="shared" si="12"/>
        <v>0</v>
      </c>
      <c r="Z178" s="2066">
        <f>SUM(AA182:AA189)</f>
        <v>2993000</v>
      </c>
      <c r="AA178" s="2067"/>
    </row>
    <row r="179" spans="1:27">
      <c r="A179" s="2038"/>
      <c r="B179" s="2043"/>
      <c r="C179" s="2044"/>
      <c r="D179" s="2044"/>
      <c r="E179" s="2044"/>
      <c r="F179" s="2046"/>
      <c r="G179" s="2046"/>
      <c r="H179" s="2046"/>
      <c r="I179" s="2046"/>
      <c r="J179" s="2048"/>
      <c r="K179" s="2048"/>
      <c r="L179" s="2052"/>
      <c r="M179" s="2054"/>
      <c r="N179" s="2056"/>
      <c r="O179" s="2058"/>
      <c r="P179" s="2060"/>
      <c r="Q179" s="2060"/>
      <c r="R179" s="2060"/>
      <c r="S179" s="2060"/>
      <c r="T179" s="2060"/>
      <c r="U179" s="2060"/>
      <c r="V179" s="2060"/>
      <c r="W179" s="2060"/>
      <c r="X179" s="2060"/>
      <c r="Y179" s="2060"/>
      <c r="Z179" s="2068"/>
      <c r="AA179" s="2069"/>
    </row>
    <row r="180" spans="1:27">
      <c r="A180" s="2038"/>
      <c r="B180" s="2072" t="s">
        <v>107</v>
      </c>
      <c r="C180" s="2058"/>
      <c r="D180" s="2527" t="s">
        <v>380</v>
      </c>
      <c r="E180" s="2528"/>
      <c r="F180" s="2529"/>
      <c r="G180" s="2529"/>
      <c r="H180" s="2529"/>
      <c r="I180" s="2530"/>
      <c r="J180" s="2048"/>
      <c r="K180" s="2048"/>
      <c r="L180" s="2052"/>
      <c r="M180" s="2054"/>
      <c r="N180" s="2056"/>
      <c r="O180" s="2058"/>
      <c r="P180" s="2060"/>
      <c r="Q180" s="2060"/>
      <c r="R180" s="2060"/>
      <c r="S180" s="2060"/>
      <c r="T180" s="2060"/>
      <c r="U180" s="2060"/>
      <c r="V180" s="2060"/>
      <c r="W180" s="2060"/>
      <c r="X180" s="2060"/>
      <c r="Y180" s="2060"/>
      <c r="Z180" s="2068"/>
      <c r="AA180" s="2069"/>
    </row>
    <row r="181" spans="1:27">
      <c r="A181" s="2038"/>
      <c r="B181" s="2073"/>
      <c r="C181" s="2074"/>
      <c r="D181" s="2531"/>
      <c r="E181" s="2532"/>
      <c r="F181" s="2533"/>
      <c r="G181" s="2533"/>
      <c r="H181" s="2533"/>
      <c r="I181" s="2534"/>
      <c r="J181" s="2048"/>
      <c r="K181" s="2048"/>
      <c r="L181" s="2052"/>
      <c r="M181" s="2054"/>
      <c r="N181" s="2056"/>
      <c r="O181" s="2058"/>
      <c r="P181" s="2060"/>
      <c r="Q181" s="2060"/>
      <c r="R181" s="2060"/>
      <c r="S181" s="2060"/>
      <c r="T181" s="2060"/>
      <c r="U181" s="2060"/>
      <c r="V181" s="2060"/>
      <c r="W181" s="2060"/>
      <c r="X181" s="2060"/>
      <c r="Y181" s="2060"/>
      <c r="Z181" s="2070"/>
      <c r="AA181" s="2071"/>
    </row>
    <row r="182" spans="1:27">
      <c r="A182" s="2039"/>
      <c r="B182" s="2514" t="s">
        <v>381</v>
      </c>
      <c r="C182" s="2515"/>
      <c r="D182" s="2515"/>
      <c r="E182" s="2515"/>
      <c r="F182" s="2515"/>
      <c r="G182" s="2515"/>
      <c r="H182" s="2515"/>
      <c r="I182" s="2522"/>
      <c r="J182" s="2049"/>
      <c r="K182" s="2048"/>
      <c r="L182" s="2052"/>
      <c r="M182" s="2085" t="s">
        <v>143</v>
      </c>
      <c r="N182" s="2086">
        <f>SUM(P182:Y185)</f>
        <v>0</v>
      </c>
      <c r="O182" s="2058" t="s">
        <v>112</v>
      </c>
      <c r="P182" s="2087">
        <v>0</v>
      </c>
      <c r="Q182" s="2087">
        <v>0</v>
      </c>
      <c r="R182" s="2087">
        <v>0</v>
      </c>
      <c r="S182" s="2087">
        <v>0</v>
      </c>
      <c r="T182" s="2087">
        <v>0</v>
      </c>
      <c r="U182" s="2087">
        <v>0</v>
      </c>
      <c r="V182" s="2087">
        <v>0</v>
      </c>
      <c r="W182" s="2087">
        <v>0</v>
      </c>
      <c r="X182" s="2087">
        <v>0</v>
      </c>
      <c r="Y182" s="2087">
        <v>0</v>
      </c>
      <c r="Z182" s="2092"/>
      <c r="AA182" s="2093"/>
    </row>
    <row r="183" spans="1:27">
      <c r="A183" s="2039"/>
      <c r="B183" s="2523"/>
      <c r="C183" s="2524"/>
      <c r="D183" s="2524"/>
      <c r="E183" s="2524"/>
      <c r="F183" s="2524"/>
      <c r="G183" s="2524"/>
      <c r="H183" s="2524"/>
      <c r="I183" s="2525"/>
      <c r="J183" s="2049"/>
      <c r="K183" s="2048"/>
      <c r="L183" s="2052"/>
      <c r="M183" s="2085"/>
      <c r="N183" s="2058"/>
      <c r="O183" s="2058"/>
      <c r="P183" s="2087"/>
      <c r="Q183" s="2087"/>
      <c r="R183" s="2087"/>
      <c r="S183" s="2087"/>
      <c r="T183" s="2087"/>
      <c r="U183" s="2087"/>
      <c r="V183" s="2087"/>
      <c r="W183" s="2087"/>
      <c r="X183" s="2087"/>
      <c r="Y183" s="2087"/>
      <c r="Z183" s="2061"/>
      <c r="AA183" s="2062"/>
    </row>
    <row r="184" spans="1:27">
      <c r="A184" s="2039"/>
      <c r="B184" s="2523"/>
      <c r="C184" s="2524"/>
      <c r="D184" s="2524"/>
      <c r="E184" s="2524"/>
      <c r="F184" s="2524"/>
      <c r="G184" s="2524"/>
      <c r="H184" s="2524"/>
      <c r="I184" s="2525"/>
      <c r="J184" s="2049"/>
      <c r="K184" s="2048"/>
      <c r="L184" s="2089">
        <v>0</v>
      </c>
      <c r="M184" s="2085"/>
      <c r="N184" s="2058"/>
      <c r="O184" s="2058"/>
      <c r="P184" s="2087"/>
      <c r="Q184" s="2087"/>
      <c r="R184" s="2087"/>
      <c r="S184" s="2087"/>
      <c r="T184" s="2087"/>
      <c r="U184" s="2087"/>
      <c r="V184" s="2087"/>
      <c r="W184" s="2087"/>
      <c r="X184" s="2087"/>
      <c r="Y184" s="2087"/>
      <c r="Z184" s="2061" t="s">
        <v>154</v>
      </c>
      <c r="AA184" s="2062">
        <f>P178</f>
        <v>533000</v>
      </c>
    </row>
    <row r="185" spans="1:27">
      <c r="A185" s="2039"/>
      <c r="B185" s="2518"/>
      <c r="C185" s="2519"/>
      <c r="D185" s="2519"/>
      <c r="E185" s="2519"/>
      <c r="F185" s="2519"/>
      <c r="G185" s="2519"/>
      <c r="H185" s="2519"/>
      <c r="I185" s="2526"/>
      <c r="J185" s="2049"/>
      <c r="K185" s="2048"/>
      <c r="L185" s="2089"/>
      <c r="M185" s="2085"/>
      <c r="N185" s="2058"/>
      <c r="O185" s="2058"/>
      <c r="P185" s="2087"/>
      <c r="Q185" s="2087"/>
      <c r="R185" s="2087"/>
      <c r="S185" s="2087"/>
      <c r="T185" s="2087"/>
      <c r="U185" s="2087"/>
      <c r="V185" s="2087"/>
      <c r="W185" s="2087"/>
      <c r="X185" s="2087"/>
      <c r="Y185" s="2087"/>
      <c r="Z185" s="2061"/>
      <c r="AA185" s="2062"/>
    </row>
    <row r="186" spans="1:27">
      <c r="A186" s="2039"/>
      <c r="B186" s="2028" t="s">
        <v>366</v>
      </c>
      <c r="C186" s="2029"/>
      <c r="D186" s="2029"/>
      <c r="E186" s="2029"/>
      <c r="F186" s="2029"/>
      <c r="G186" s="2029"/>
      <c r="H186" s="2029"/>
      <c r="I186" s="2030"/>
      <c r="J186" s="2048"/>
      <c r="K186" s="2048"/>
      <c r="L186" s="2089"/>
      <c r="M186" s="2034" t="s">
        <v>123</v>
      </c>
      <c r="N186" s="2086">
        <f>SUM(P186:Y189)</f>
        <v>2993000</v>
      </c>
      <c r="O186" s="2058" t="s">
        <v>112</v>
      </c>
      <c r="P186" s="2087">
        <v>533000</v>
      </c>
      <c r="Q186" s="2087">
        <v>2460000</v>
      </c>
      <c r="R186" s="2087">
        <v>0</v>
      </c>
      <c r="S186" s="2087">
        <v>0</v>
      </c>
      <c r="T186" s="2087">
        <v>0</v>
      </c>
      <c r="U186" s="2087">
        <v>0</v>
      </c>
      <c r="V186" s="2087">
        <v>0</v>
      </c>
      <c r="W186" s="2087">
        <v>0</v>
      </c>
      <c r="X186" s="2087">
        <v>0</v>
      </c>
      <c r="Y186" s="2087">
        <v>0</v>
      </c>
      <c r="Z186" s="2061" t="s">
        <v>345</v>
      </c>
      <c r="AA186" s="2062">
        <f>Q178</f>
        <v>2460000</v>
      </c>
    </row>
    <row r="187" spans="1:27">
      <c r="A187" s="2039"/>
      <c r="B187" s="2028"/>
      <c r="C187" s="2029"/>
      <c r="D187" s="2029"/>
      <c r="E187" s="2029"/>
      <c r="F187" s="2029"/>
      <c r="G187" s="2029"/>
      <c r="H187" s="2029"/>
      <c r="I187" s="2030"/>
      <c r="J187" s="2048"/>
      <c r="K187" s="2048"/>
      <c r="L187" s="2089"/>
      <c r="M187" s="2035"/>
      <c r="N187" s="2058"/>
      <c r="O187" s="2058"/>
      <c r="P187" s="2087"/>
      <c r="Q187" s="2087"/>
      <c r="R187" s="2087"/>
      <c r="S187" s="2087"/>
      <c r="T187" s="2087"/>
      <c r="U187" s="2087"/>
      <c r="V187" s="2087"/>
      <c r="W187" s="2087"/>
      <c r="X187" s="2087"/>
      <c r="Y187" s="2087"/>
      <c r="Z187" s="2061"/>
      <c r="AA187" s="2062"/>
    </row>
    <row r="188" spans="1:27">
      <c r="A188" s="2039"/>
      <c r="B188" s="2028"/>
      <c r="C188" s="2029"/>
      <c r="D188" s="2029"/>
      <c r="E188" s="2029"/>
      <c r="F188" s="2029"/>
      <c r="G188" s="2029"/>
      <c r="H188" s="2029"/>
      <c r="I188" s="2030"/>
      <c r="J188" s="2048"/>
      <c r="K188" s="2048"/>
      <c r="L188" s="2089"/>
      <c r="M188" s="2035"/>
      <c r="N188" s="2058"/>
      <c r="O188" s="2058"/>
      <c r="P188" s="2087"/>
      <c r="Q188" s="2087"/>
      <c r="R188" s="2087"/>
      <c r="S188" s="2087"/>
      <c r="T188" s="2087"/>
      <c r="U188" s="2087"/>
      <c r="V188" s="2087"/>
      <c r="W188" s="2087"/>
      <c r="X188" s="2087"/>
      <c r="Y188" s="2087"/>
      <c r="Z188" s="2063"/>
      <c r="AA188" s="2062"/>
    </row>
    <row r="189" spans="1:27" ht="13.5" thickBot="1">
      <c r="A189" s="2040"/>
      <c r="B189" s="2031"/>
      <c r="C189" s="2032"/>
      <c r="D189" s="2032"/>
      <c r="E189" s="2032"/>
      <c r="F189" s="2032"/>
      <c r="G189" s="2032"/>
      <c r="H189" s="2032"/>
      <c r="I189" s="2033"/>
      <c r="J189" s="2050"/>
      <c r="K189" s="2050"/>
      <c r="L189" s="2090"/>
      <c r="M189" s="2036"/>
      <c r="N189" s="2091"/>
      <c r="O189" s="2091"/>
      <c r="P189" s="2088"/>
      <c r="Q189" s="2088"/>
      <c r="R189" s="2088"/>
      <c r="S189" s="2088"/>
      <c r="T189" s="2088"/>
      <c r="U189" s="2088"/>
      <c r="V189" s="2088"/>
      <c r="W189" s="2088"/>
      <c r="X189" s="2088"/>
      <c r="Y189" s="2088"/>
      <c r="Z189" s="2064"/>
      <c r="AA189" s="2065"/>
    </row>
    <row r="190" spans="1:27" ht="14.25" thickTop="1" thickBot="1">
      <c r="A190" s="1149"/>
      <c r="B190" s="1146"/>
      <c r="C190" s="1146"/>
      <c r="D190" s="1146"/>
      <c r="E190" s="1146"/>
      <c r="F190" s="1146"/>
      <c r="G190" s="1146"/>
      <c r="H190" s="1146"/>
      <c r="I190" s="1146"/>
      <c r="J190" s="1147"/>
      <c r="K190" s="1147"/>
      <c r="L190" s="811"/>
      <c r="M190" s="825"/>
      <c r="N190" s="1147"/>
      <c r="O190" s="1147"/>
      <c r="P190" s="656"/>
      <c r="Q190" s="656"/>
      <c r="R190" s="656"/>
      <c r="S190" s="656"/>
      <c r="T190" s="656"/>
      <c r="U190" s="656"/>
      <c r="V190" s="656"/>
      <c r="W190" s="656"/>
      <c r="X190" s="656"/>
      <c r="Y190" s="656"/>
      <c r="Z190" s="812"/>
      <c r="AA190" s="642"/>
    </row>
    <row r="191" spans="1:27" ht="13.5" thickTop="1">
      <c r="A191" s="2037">
        <v>12</v>
      </c>
      <c r="B191" s="2041" t="s">
        <v>101</v>
      </c>
      <c r="C191" s="2042"/>
      <c r="D191" s="2042">
        <v>900</v>
      </c>
      <c r="E191" s="2042"/>
      <c r="F191" s="2045" t="s">
        <v>363</v>
      </c>
      <c r="G191" s="2045"/>
      <c r="H191" s="2045"/>
      <c r="I191" s="2045"/>
      <c r="J191" s="2047">
        <v>2013</v>
      </c>
      <c r="K191" s="2047">
        <v>2014</v>
      </c>
      <c r="L191" s="2051">
        <f>SUM(N191,L197)</f>
        <v>2458000</v>
      </c>
      <c r="M191" s="2053" t="s">
        <v>120</v>
      </c>
      <c r="N191" s="2055">
        <f>SUM(N195:N202)</f>
        <v>2458000</v>
      </c>
      <c r="O191" s="2057" t="s">
        <v>112</v>
      </c>
      <c r="P191" s="2059">
        <f>SUM(P195:P202)</f>
        <v>161000</v>
      </c>
      <c r="Q191" s="2059">
        <f>SUM(Q195:Q202)</f>
        <v>2297000</v>
      </c>
      <c r="R191" s="2059">
        <f>SUM(R195:R202)</f>
        <v>0</v>
      </c>
      <c r="S191" s="2059">
        <f t="shared" ref="S191:Y191" si="13">SUM(S195:S202)</f>
        <v>0</v>
      </c>
      <c r="T191" s="2059">
        <f t="shared" si="13"/>
        <v>0</v>
      </c>
      <c r="U191" s="2059">
        <f t="shared" si="13"/>
        <v>0</v>
      </c>
      <c r="V191" s="2059">
        <f t="shared" si="13"/>
        <v>0</v>
      </c>
      <c r="W191" s="2059">
        <f t="shared" si="13"/>
        <v>0</v>
      </c>
      <c r="X191" s="2059">
        <f t="shared" si="13"/>
        <v>0</v>
      </c>
      <c r="Y191" s="2059">
        <f t="shared" si="13"/>
        <v>0</v>
      </c>
      <c r="Z191" s="2066">
        <f>SUM(AA195:AA202)</f>
        <v>2458000</v>
      </c>
      <c r="AA191" s="2067"/>
    </row>
    <row r="192" spans="1:27">
      <c r="A192" s="2038"/>
      <c r="B192" s="2043"/>
      <c r="C192" s="2044"/>
      <c r="D192" s="2044"/>
      <c r="E192" s="2044"/>
      <c r="F192" s="2046"/>
      <c r="G192" s="2046"/>
      <c r="H192" s="2046"/>
      <c r="I192" s="2046"/>
      <c r="J192" s="2048"/>
      <c r="K192" s="2048"/>
      <c r="L192" s="2052"/>
      <c r="M192" s="2054"/>
      <c r="N192" s="2056"/>
      <c r="O192" s="2058"/>
      <c r="P192" s="2060"/>
      <c r="Q192" s="2060"/>
      <c r="R192" s="2060"/>
      <c r="S192" s="2060"/>
      <c r="T192" s="2060"/>
      <c r="U192" s="2060"/>
      <c r="V192" s="2060"/>
      <c r="W192" s="2060"/>
      <c r="X192" s="2060"/>
      <c r="Y192" s="2060"/>
      <c r="Z192" s="2068"/>
      <c r="AA192" s="2069"/>
    </row>
    <row r="193" spans="1:27">
      <c r="A193" s="2038"/>
      <c r="B193" s="2072" t="s">
        <v>107</v>
      </c>
      <c r="C193" s="2058"/>
      <c r="D193" s="2058">
        <v>90003</v>
      </c>
      <c r="E193" s="2058"/>
      <c r="F193" s="2046" t="s">
        <v>364</v>
      </c>
      <c r="G193" s="2046"/>
      <c r="H193" s="2046"/>
      <c r="I193" s="2046"/>
      <c r="J193" s="2048"/>
      <c r="K193" s="2048"/>
      <c r="L193" s="2052"/>
      <c r="M193" s="2054"/>
      <c r="N193" s="2056"/>
      <c r="O193" s="2058"/>
      <c r="P193" s="2060"/>
      <c r="Q193" s="2060"/>
      <c r="R193" s="2060"/>
      <c r="S193" s="2060"/>
      <c r="T193" s="2060"/>
      <c r="U193" s="2060"/>
      <c r="V193" s="2060"/>
      <c r="W193" s="2060"/>
      <c r="X193" s="2060"/>
      <c r="Y193" s="2060"/>
      <c r="Z193" s="2068"/>
      <c r="AA193" s="2069"/>
    </row>
    <row r="194" spans="1:27">
      <c r="A194" s="2038"/>
      <c r="B194" s="2073"/>
      <c r="C194" s="2074"/>
      <c r="D194" s="2074"/>
      <c r="E194" s="2074"/>
      <c r="F194" s="2075"/>
      <c r="G194" s="2075"/>
      <c r="H194" s="2075"/>
      <c r="I194" s="2075"/>
      <c r="J194" s="2048"/>
      <c r="K194" s="2048"/>
      <c r="L194" s="2052"/>
      <c r="M194" s="2054"/>
      <c r="N194" s="2056"/>
      <c r="O194" s="2058"/>
      <c r="P194" s="2060"/>
      <c r="Q194" s="2060"/>
      <c r="R194" s="2060"/>
      <c r="S194" s="2060"/>
      <c r="T194" s="2060"/>
      <c r="U194" s="2060"/>
      <c r="V194" s="2060"/>
      <c r="W194" s="2060"/>
      <c r="X194" s="2060"/>
      <c r="Y194" s="2060"/>
      <c r="Z194" s="2070"/>
      <c r="AA194" s="2071"/>
    </row>
    <row r="195" spans="1:27">
      <c r="A195" s="2039"/>
      <c r="B195" s="2514" t="s">
        <v>365</v>
      </c>
      <c r="C195" s="2515"/>
      <c r="D195" s="2515"/>
      <c r="E195" s="2515"/>
      <c r="F195" s="2515"/>
      <c r="G195" s="2515"/>
      <c r="H195" s="2515"/>
      <c r="I195" s="2522"/>
      <c r="J195" s="2049"/>
      <c r="K195" s="2048"/>
      <c r="L195" s="2052"/>
      <c r="M195" s="2085" t="s">
        <v>143</v>
      </c>
      <c r="N195" s="2086">
        <f>SUM(P195:Y198)</f>
        <v>0</v>
      </c>
      <c r="O195" s="2058" t="s">
        <v>112</v>
      </c>
      <c r="P195" s="2087"/>
      <c r="Q195" s="2087">
        <v>0</v>
      </c>
      <c r="R195" s="2087">
        <v>0</v>
      </c>
      <c r="S195" s="2087">
        <v>0</v>
      </c>
      <c r="T195" s="2087">
        <v>0</v>
      </c>
      <c r="U195" s="2087">
        <v>0</v>
      </c>
      <c r="V195" s="2087">
        <v>0</v>
      </c>
      <c r="W195" s="2087">
        <v>0</v>
      </c>
      <c r="X195" s="2087">
        <v>0</v>
      </c>
      <c r="Y195" s="2087">
        <v>0</v>
      </c>
      <c r="Z195" s="2092"/>
      <c r="AA195" s="2093"/>
    </row>
    <row r="196" spans="1:27">
      <c r="A196" s="2039"/>
      <c r="B196" s="2523"/>
      <c r="C196" s="2524"/>
      <c r="D196" s="2524"/>
      <c r="E196" s="2524"/>
      <c r="F196" s="2524"/>
      <c r="G196" s="2524"/>
      <c r="H196" s="2524"/>
      <c r="I196" s="2525"/>
      <c r="J196" s="2049"/>
      <c r="K196" s="2048"/>
      <c r="L196" s="2052"/>
      <c r="M196" s="2085"/>
      <c r="N196" s="2058"/>
      <c r="O196" s="2058"/>
      <c r="P196" s="2087"/>
      <c r="Q196" s="2087"/>
      <c r="R196" s="2087"/>
      <c r="S196" s="2087"/>
      <c r="T196" s="2087"/>
      <c r="U196" s="2087"/>
      <c r="V196" s="2087"/>
      <c r="W196" s="2087"/>
      <c r="X196" s="2087"/>
      <c r="Y196" s="2087"/>
      <c r="Z196" s="2061"/>
      <c r="AA196" s="2062"/>
    </row>
    <row r="197" spans="1:27">
      <c r="A197" s="2039"/>
      <c r="B197" s="2523"/>
      <c r="C197" s="2524"/>
      <c r="D197" s="2524"/>
      <c r="E197" s="2524"/>
      <c r="F197" s="2524"/>
      <c r="G197" s="2524"/>
      <c r="H197" s="2524"/>
      <c r="I197" s="2525"/>
      <c r="J197" s="2049"/>
      <c r="K197" s="2048"/>
      <c r="L197" s="2089">
        <v>0</v>
      </c>
      <c r="M197" s="2085"/>
      <c r="N197" s="2058"/>
      <c r="O197" s="2058"/>
      <c r="P197" s="2087"/>
      <c r="Q197" s="2087"/>
      <c r="R197" s="2087"/>
      <c r="S197" s="2087"/>
      <c r="T197" s="2087"/>
      <c r="U197" s="2087"/>
      <c r="V197" s="2087"/>
      <c r="W197" s="2087"/>
      <c r="X197" s="2087"/>
      <c r="Y197" s="2087"/>
      <c r="Z197" s="2061" t="s">
        <v>154</v>
      </c>
      <c r="AA197" s="2062">
        <f>P191</f>
        <v>161000</v>
      </c>
    </row>
    <row r="198" spans="1:27">
      <c r="A198" s="2039"/>
      <c r="B198" s="2518"/>
      <c r="C198" s="2519"/>
      <c r="D198" s="2519"/>
      <c r="E198" s="2519"/>
      <c r="F198" s="2519"/>
      <c r="G198" s="2519"/>
      <c r="H198" s="2519"/>
      <c r="I198" s="2526"/>
      <c r="J198" s="2049"/>
      <c r="K198" s="2048"/>
      <c r="L198" s="2089"/>
      <c r="M198" s="2085"/>
      <c r="N198" s="2058"/>
      <c r="O198" s="2058"/>
      <c r="P198" s="2087"/>
      <c r="Q198" s="2087"/>
      <c r="R198" s="2087"/>
      <c r="S198" s="2087"/>
      <c r="T198" s="2087"/>
      <c r="U198" s="2087"/>
      <c r="V198" s="2087"/>
      <c r="W198" s="2087"/>
      <c r="X198" s="2087"/>
      <c r="Y198" s="2087"/>
      <c r="Z198" s="2061"/>
      <c r="AA198" s="2062"/>
    </row>
    <row r="199" spans="1:27">
      <c r="A199" s="2039"/>
      <c r="B199" s="2028" t="s">
        <v>367</v>
      </c>
      <c r="C199" s="2029"/>
      <c r="D199" s="2029"/>
      <c r="E199" s="2029"/>
      <c r="F199" s="2029"/>
      <c r="G199" s="2029"/>
      <c r="H199" s="2029"/>
      <c r="I199" s="2030"/>
      <c r="J199" s="2048"/>
      <c r="K199" s="2048"/>
      <c r="L199" s="2089"/>
      <c r="M199" s="2034" t="s">
        <v>123</v>
      </c>
      <c r="N199" s="2086">
        <f>SUM(P199:Y202)</f>
        <v>2458000</v>
      </c>
      <c r="O199" s="2058" t="s">
        <v>112</v>
      </c>
      <c r="P199" s="2087">
        <v>161000</v>
      </c>
      <c r="Q199" s="2087">
        <v>2297000</v>
      </c>
      <c r="R199" s="2087">
        <v>0</v>
      </c>
      <c r="S199" s="2087">
        <v>0</v>
      </c>
      <c r="T199" s="2087">
        <v>0</v>
      </c>
      <c r="U199" s="2087">
        <v>0</v>
      </c>
      <c r="V199" s="2087">
        <v>0</v>
      </c>
      <c r="W199" s="2087">
        <v>0</v>
      </c>
      <c r="X199" s="2087">
        <v>0</v>
      </c>
      <c r="Y199" s="2087">
        <v>0</v>
      </c>
      <c r="Z199" s="2061" t="s">
        <v>345</v>
      </c>
      <c r="AA199" s="2062">
        <f>Q191</f>
        <v>2297000</v>
      </c>
    </row>
    <row r="200" spans="1:27">
      <c r="A200" s="2039"/>
      <c r="B200" s="2028"/>
      <c r="C200" s="2029"/>
      <c r="D200" s="2029"/>
      <c r="E200" s="2029"/>
      <c r="F200" s="2029"/>
      <c r="G200" s="2029"/>
      <c r="H200" s="2029"/>
      <c r="I200" s="2030"/>
      <c r="J200" s="2048"/>
      <c r="K200" s="2048"/>
      <c r="L200" s="2089"/>
      <c r="M200" s="2035"/>
      <c r="N200" s="2058"/>
      <c r="O200" s="2058"/>
      <c r="P200" s="2087"/>
      <c r="Q200" s="2087"/>
      <c r="R200" s="2087"/>
      <c r="S200" s="2087"/>
      <c r="T200" s="2087"/>
      <c r="U200" s="2087"/>
      <c r="V200" s="2087"/>
      <c r="W200" s="2087"/>
      <c r="X200" s="2087"/>
      <c r="Y200" s="2087"/>
      <c r="Z200" s="2061"/>
      <c r="AA200" s="2062"/>
    </row>
    <row r="201" spans="1:27">
      <c r="A201" s="2039"/>
      <c r="B201" s="2028"/>
      <c r="C201" s="2029"/>
      <c r="D201" s="2029"/>
      <c r="E201" s="2029"/>
      <c r="F201" s="2029"/>
      <c r="G201" s="2029"/>
      <c r="H201" s="2029"/>
      <c r="I201" s="2030"/>
      <c r="J201" s="2048"/>
      <c r="K201" s="2048"/>
      <c r="L201" s="2089"/>
      <c r="M201" s="2035"/>
      <c r="N201" s="2058"/>
      <c r="O201" s="2058"/>
      <c r="P201" s="2087"/>
      <c r="Q201" s="2087"/>
      <c r="R201" s="2087"/>
      <c r="S201" s="2087"/>
      <c r="T201" s="2087"/>
      <c r="U201" s="2087"/>
      <c r="V201" s="2087"/>
      <c r="W201" s="2087"/>
      <c r="X201" s="2087"/>
      <c r="Y201" s="2087"/>
      <c r="Z201" s="2063"/>
      <c r="AA201" s="2062"/>
    </row>
    <row r="202" spans="1:27" ht="13.5" thickBot="1">
      <c r="A202" s="2040"/>
      <c r="B202" s="2031"/>
      <c r="C202" s="2032"/>
      <c r="D202" s="2032"/>
      <c r="E202" s="2032"/>
      <c r="F202" s="2032"/>
      <c r="G202" s="2032"/>
      <c r="H202" s="2032"/>
      <c r="I202" s="2033"/>
      <c r="J202" s="2050"/>
      <c r="K202" s="2050"/>
      <c r="L202" s="2090"/>
      <c r="M202" s="2036"/>
      <c r="N202" s="2091"/>
      <c r="O202" s="2091"/>
      <c r="P202" s="2088"/>
      <c r="Q202" s="2088"/>
      <c r="R202" s="2088"/>
      <c r="S202" s="2088"/>
      <c r="T202" s="2088"/>
      <c r="U202" s="2088"/>
      <c r="V202" s="2088"/>
      <c r="W202" s="2088"/>
      <c r="X202" s="2088"/>
      <c r="Y202" s="2088"/>
      <c r="Z202" s="2064"/>
      <c r="AA202" s="2065"/>
    </row>
    <row r="203" spans="1:27" ht="14.25" thickTop="1" thickBot="1">
      <c r="A203" s="1149"/>
      <c r="B203" s="1146"/>
      <c r="C203" s="1146"/>
      <c r="D203" s="1146"/>
      <c r="E203" s="1146"/>
      <c r="F203" s="1146"/>
      <c r="G203" s="1146"/>
      <c r="H203" s="1146"/>
      <c r="I203" s="1146"/>
      <c r="J203" s="1147"/>
      <c r="K203" s="1147"/>
      <c r="L203" s="814"/>
      <c r="M203" s="826"/>
      <c r="N203" s="1147"/>
      <c r="O203" s="1147"/>
      <c r="P203" s="656"/>
      <c r="Q203" s="656"/>
      <c r="R203" s="656"/>
      <c r="S203" s="656"/>
      <c r="T203" s="656"/>
      <c r="U203" s="656"/>
      <c r="V203" s="656"/>
      <c r="W203" s="656"/>
      <c r="X203" s="656"/>
      <c r="Y203" s="656"/>
      <c r="Z203" s="812"/>
      <c r="AA203" s="813"/>
    </row>
    <row r="204" spans="1:27" ht="13.5" thickTop="1">
      <c r="A204" s="2037">
        <v>13</v>
      </c>
      <c r="B204" s="2094" t="s">
        <v>101</v>
      </c>
      <c r="C204" s="2095"/>
      <c r="D204" s="2096">
        <v>851</v>
      </c>
      <c r="E204" s="2097"/>
      <c r="F204" s="2098" t="s">
        <v>392</v>
      </c>
      <c r="G204" s="2099"/>
      <c r="H204" s="2099"/>
      <c r="I204" s="2100"/>
      <c r="J204" s="2047">
        <v>2012</v>
      </c>
      <c r="K204" s="2047">
        <v>2017</v>
      </c>
      <c r="L204" s="2051">
        <f>SUM(N204,L209)</f>
        <v>6437918.3599999994</v>
      </c>
      <c r="M204" s="2053" t="s">
        <v>120</v>
      </c>
      <c r="N204" s="2055">
        <f>SUM(N208:N211)</f>
        <v>5823748.1899999995</v>
      </c>
      <c r="O204" s="2057" t="s">
        <v>112</v>
      </c>
      <c r="P204" s="2059">
        <f t="shared" ref="P204:Y204" si="14">SUM(P208:P211)</f>
        <v>1400529.73</v>
      </c>
      <c r="Q204" s="2059">
        <f t="shared" si="14"/>
        <v>1308084.08</v>
      </c>
      <c r="R204" s="2059">
        <f t="shared" si="14"/>
        <v>1214505.81</v>
      </c>
      <c r="S204" s="2059">
        <f t="shared" si="14"/>
        <v>1121376.3400000001</v>
      </c>
      <c r="T204" s="2059">
        <f t="shared" si="14"/>
        <v>779252.23</v>
      </c>
      <c r="U204" s="2059">
        <f t="shared" si="14"/>
        <v>0</v>
      </c>
      <c r="V204" s="2059">
        <f t="shared" si="14"/>
        <v>0</v>
      </c>
      <c r="W204" s="2059">
        <f t="shared" si="14"/>
        <v>0</v>
      </c>
      <c r="X204" s="2059">
        <f t="shared" si="14"/>
        <v>0</v>
      </c>
      <c r="Y204" s="2059">
        <f t="shared" si="14"/>
        <v>0</v>
      </c>
      <c r="Z204" s="2066">
        <v>6437918.3600000003</v>
      </c>
      <c r="AA204" s="2067"/>
    </row>
    <row r="205" spans="1:27">
      <c r="A205" s="2038"/>
      <c r="B205" s="2101" t="s">
        <v>433</v>
      </c>
      <c r="C205" s="2102"/>
      <c r="D205" s="2103">
        <v>85111</v>
      </c>
      <c r="E205" s="2104"/>
      <c r="F205" s="2105" t="s">
        <v>393</v>
      </c>
      <c r="G205" s="2106"/>
      <c r="H205" s="2106"/>
      <c r="I205" s="2107"/>
      <c r="J205" s="2048"/>
      <c r="K205" s="2048"/>
      <c r="L205" s="2126"/>
      <c r="M205" s="2054"/>
      <c r="N205" s="2056"/>
      <c r="O205" s="2058"/>
      <c r="P205" s="2060"/>
      <c r="Q205" s="2060"/>
      <c r="R205" s="2060"/>
      <c r="S205" s="2060"/>
      <c r="T205" s="2060"/>
      <c r="U205" s="2060"/>
      <c r="V205" s="2060"/>
      <c r="W205" s="2060"/>
      <c r="X205" s="2060"/>
      <c r="Y205" s="2060"/>
      <c r="Z205" s="2068"/>
      <c r="AA205" s="2069"/>
    </row>
    <row r="206" spans="1:27">
      <c r="A206" s="2038"/>
      <c r="B206" s="2514" t="s">
        <v>404</v>
      </c>
      <c r="C206" s="2515"/>
      <c r="D206" s="2516"/>
      <c r="E206" s="2516"/>
      <c r="F206" s="2516"/>
      <c r="G206" s="2516"/>
      <c r="H206" s="2516"/>
      <c r="I206" s="2517"/>
      <c r="J206" s="2048"/>
      <c r="K206" s="2048"/>
      <c r="L206" s="2126"/>
      <c r="M206" s="2054"/>
      <c r="N206" s="2056"/>
      <c r="O206" s="2058"/>
      <c r="P206" s="2060"/>
      <c r="Q206" s="2060"/>
      <c r="R206" s="2060"/>
      <c r="S206" s="2060"/>
      <c r="T206" s="2060"/>
      <c r="U206" s="2060"/>
      <c r="V206" s="2060"/>
      <c r="W206" s="2060"/>
      <c r="X206" s="2060"/>
      <c r="Y206" s="2060"/>
      <c r="Z206" s="2068"/>
      <c r="AA206" s="2069"/>
    </row>
    <row r="207" spans="1:27">
      <c r="A207" s="2038"/>
      <c r="B207" s="2518"/>
      <c r="C207" s="2519"/>
      <c r="D207" s="2520"/>
      <c r="E207" s="2520"/>
      <c r="F207" s="2520"/>
      <c r="G207" s="2520"/>
      <c r="H207" s="2520"/>
      <c r="I207" s="2521"/>
      <c r="J207" s="2048"/>
      <c r="K207" s="2048"/>
      <c r="L207" s="2126"/>
      <c r="M207" s="2054"/>
      <c r="N207" s="2056"/>
      <c r="O207" s="2058"/>
      <c r="P207" s="2060"/>
      <c r="Q207" s="2060"/>
      <c r="R207" s="2060"/>
      <c r="S207" s="2060"/>
      <c r="T207" s="2060"/>
      <c r="U207" s="2060"/>
      <c r="V207" s="2060"/>
      <c r="W207" s="2060"/>
      <c r="X207" s="2060"/>
      <c r="Y207" s="2060"/>
      <c r="Z207" s="2070"/>
      <c r="AA207" s="2071"/>
    </row>
    <row r="208" spans="1:27">
      <c r="A208" s="2039"/>
      <c r="B208" s="2028" t="s">
        <v>395</v>
      </c>
      <c r="C208" s="2029"/>
      <c r="D208" s="2029"/>
      <c r="E208" s="2029"/>
      <c r="F208" s="2029"/>
      <c r="G208" s="2029"/>
      <c r="H208" s="2029"/>
      <c r="I208" s="2030"/>
      <c r="J208" s="2049"/>
      <c r="K208" s="2048"/>
      <c r="L208" s="2126"/>
      <c r="M208" s="2085" t="s">
        <v>372</v>
      </c>
      <c r="N208" s="2086">
        <f>SUM(P208:Y211)</f>
        <v>5823748.1899999995</v>
      </c>
      <c r="O208" s="2058" t="s">
        <v>112</v>
      </c>
      <c r="P208" s="2087">
        <v>1400529.73</v>
      </c>
      <c r="Q208" s="2087">
        <v>1308084.08</v>
      </c>
      <c r="R208" s="2087">
        <v>1214505.81</v>
      </c>
      <c r="S208" s="2087">
        <v>1121376.3400000001</v>
      </c>
      <c r="T208" s="2087">
        <v>779252.23</v>
      </c>
      <c r="U208" s="2087">
        <v>0</v>
      </c>
      <c r="V208" s="2087">
        <v>0</v>
      </c>
      <c r="W208" s="2087">
        <v>0</v>
      </c>
      <c r="X208" s="2087">
        <v>0</v>
      </c>
      <c r="Y208" s="2087">
        <v>0</v>
      </c>
      <c r="Z208" s="2092"/>
      <c r="AA208" s="2093"/>
    </row>
    <row r="209" spans="1:27">
      <c r="A209" s="2039"/>
      <c r="B209" s="2028"/>
      <c r="C209" s="2029"/>
      <c r="D209" s="2029"/>
      <c r="E209" s="2029"/>
      <c r="F209" s="2029"/>
      <c r="G209" s="2029"/>
      <c r="H209" s="2029"/>
      <c r="I209" s="2030"/>
      <c r="J209" s="2049"/>
      <c r="K209" s="2048"/>
      <c r="L209" s="2125">
        <v>614170.17000000004</v>
      </c>
      <c r="M209" s="2085"/>
      <c r="N209" s="2058"/>
      <c r="O209" s="2058"/>
      <c r="P209" s="2087"/>
      <c r="Q209" s="2087"/>
      <c r="R209" s="2087"/>
      <c r="S209" s="2087"/>
      <c r="T209" s="2087"/>
      <c r="U209" s="2087"/>
      <c r="V209" s="2087"/>
      <c r="W209" s="2087"/>
      <c r="X209" s="2087"/>
      <c r="Y209" s="2087"/>
      <c r="Z209" s="2061"/>
      <c r="AA209" s="2062"/>
    </row>
    <row r="210" spans="1:27">
      <c r="A210" s="2039"/>
      <c r="B210" s="2028"/>
      <c r="C210" s="2029"/>
      <c r="D210" s="2029"/>
      <c r="E210" s="2029"/>
      <c r="F210" s="2029"/>
      <c r="G210" s="2029"/>
      <c r="H210" s="2029"/>
      <c r="I210" s="2030"/>
      <c r="J210" s="2049"/>
      <c r="K210" s="2048"/>
      <c r="L210" s="2126"/>
      <c r="M210" s="2085"/>
      <c r="N210" s="2058"/>
      <c r="O210" s="2058"/>
      <c r="P210" s="2087"/>
      <c r="Q210" s="2087"/>
      <c r="R210" s="2087"/>
      <c r="S210" s="2087"/>
      <c r="T210" s="2087"/>
      <c r="U210" s="2087"/>
      <c r="V210" s="2087"/>
      <c r="W210" s="2087"/>
      <c r="X210" s="2087"/>
      <c r="Y210" s="2087"/>
      <c r="Z210" s="2061"/>
      <c r="AA210" s="2062"/>
    </row>
    <row r="211" spans="1:27" ht="13.5" thickBot="1">
      <c r="A211" s="2040"/>
      <c r="B211" s="2031"/>
      <c r="C211" s="2032"/>
      <c r="D211" s="2032"/>
      <c r="E211" s="2032"/>
      <c r="F211" s="2032"/>
      <c r="G211" s="2032"/>
      <c r="H211" s="2032"/>
      <c r="I211" s="2033"/>
      <c r="J211" s="2128"/>
      <c r="K211" s="2050"/>
      <c r="L211" s="2127"/>
      <c r="M211" s="2129"/>
      <c r="N211" s="2091"/>
      <c r="O211" s="2091"/>
      <c r="P211" s="2088"/>
      <c r="Q211" s="2088"/>
      <c r="R211" s="2088"/>
      <c r="S211" s="2088"/>
      <c r="T211" s="2088"/>
      <c r="U211" s="2088"/>
      <c r="V211" s="2088"/>
      <c r="W211" s="2088"/>
      <c r="X211" s="2088"/>
      <c r="Y211" s="2088"/>
      <c r="Z211" s="2175"/>
      <c r="AA211" s="2196"/>
    </row>
    <row r="212" spans="1:27" ht="14.25" thickTop="1" thickBot="1">
      <c r="A212" s="1149"/>
      <c r="B212" s="1146"/>
      <c r="C212" s="1146"/>
      <c r="D212" s="1146"/>
      <c r="E212" s="1146"/>
      <c r="F212" s="1146"/>
      <c r="G212" s="1146"/>
      <c r="H212" s="1146"/>
      <c r="I212" s="1146"/>
      <c r="J212" s="1147"/>
      <c r="K212" s="1147"/>
      <c r="L212" s="814"/>
      <c r="M212" s="826"/>
      <c r="N212" s="1147"/>
      <c r="O212" s="1147"/>
      <c r="P212" s="656"/>
      <c r="Q212" s="656"/>
      <c r="R212" s="656"/>
      <c r="S212" s="656"/>
      <c r="T212" s="656"/>
      <c r="U212" s="656"/>
      <c r="V212" s="656"/>
      <c r="W212" s="656"/>
      <c r="X212" s="656"/>
      <c r="Y212" s="656"/>
      <c r="Z212" s="812"/>
      <c r="AA212" s="813"/>
    </row>
    <row r="213" spans="1:27" ht="13.5" thickTop="1">
      <c r="A213" s="2037">
        <v>14</v>
      </c>
      <c r="B213" s="2094" t="s">
        <v>101</v>
      </c>
      <c r="C213" s="2095"/>
      <c r="D213" s="2096">
        <v>851</v>
      </c>
      <c r="E213" s="2097"/>
      <c r="F213" s="2098" t="s">
        <v>392</v>
      </c>
      <c r="G213" s="2099"/>
      <c r="H213" s="2099"/>
      <c r="I213" s="2100"/>
      <c r="J213" s="2047">
        <v>2012</v>
      </c>
      <c r="K213" s="2047">
        <v>2022</v>
      </c>
      <c r="L213" s="2051">
        <f>SUM(N213,L218)</f>
        <v>9976353.9299999997</v>
      </c>
      <c r="M213" s="2053" t="s">
        <v>120</v>
      </c>
      <c r="N213" s="2055">
        <f>SUM(N217:N220)</f>
        <v>9491011.4100000001</v>
      </c>
      <c r="O213" s="2057" t="s">
        <v>112</v>
      </c>
      <c r="P213" s="2059">
        <f t="shared" ref="P213:Y213" si="15">SUM(P217:P220)</f>
        <v>1175544.1299999999</v>
      </c>
      <c r="Q213" s="2059">
        <f t="shared" si="15"/>
        <v>1129320.94</v>
      </c>
      <c r="R213" s="2059">
        <f t="shared" si="15"/>
        <v>1083097.74</v>
      </c>
      <c r="S213" s="2059">
        <f t="shared" si="15"/>
        <v>1037718.8</v>
      </c>
      <c r="T213" s="2059">
        <f t="shared" si="15"/>
        <v>990651.36</v>
      </c>
      <c r="U213" s="2059">
        <f t="shared" si="15"/>
        <v>944428.13</v>
      </c>
      <c r="V213" s="2059">
        <f t="shared" si="15"/>
        <v>898204.96</v>
      </c>
      <c r="W213" s="2059">
        <f t="shared" si="15"/>
        <v>852319.45</v>
      </c>
      <c r="X213" s="2059">
        <f t="shared" si="15"/>
        <v>805758.55</v>
      </c>
      <c r="Y213" s="2059">
        <f t="shared" si="15"/>
        <v>573967.35</v>
      </c>
      <c r="Z213" s="2066">
        <v>9976353.9299999997</v>
      </c>
      <c r="AA213" s="2067"/>
    </row>
    <row r="214" spans="1:27">
      <c r="A214" s="2038"/>
      <c r="B214" s="2101" t="s">
        <v>433</v>
      </c>
      <c r="C214" s="2102"/>
      <c r="D214" s="2103">
        <v>85111</v>
      </c>
      <c r="E214" s="2104"/>
      <c r="F214" s="2105" t="s">
        <v>393</v>
      </c>
      <c r="G214" s="2106"/>
      <c r="H214" s="2106"/>
      <c r="I214" s="2107"/>
      <c r="J214" s="2048"/>
      <c r="K214" s="2048"/>
      <c r="L214" s="2126"/>
      <c r="M214" s="2054"/>
      <c r="N214" s="2056"/>
      <c r="O214" s="2058"/>
      <c r="P214" s="2060"/>
      <c r="Q214" s="2060"/>
      <c r="R214" s="2060"/>
      <c r="S214" s="2060"/>
      <c r="T214" s="2060"/>
      <c r="U214" s="2060"/>
      <c r="V214" s="2060"/>
      <c r="W214" s="2060"/>
      <c r="X214" s="2060"/>
      <c r="Y214" s="2060"/>
      <c r="Z214" s="2068"/>
      <c r="AA214" s="2069"/>
    </row>
    <row r="215" spans="1:27">
      <c r="A215" s="2038"/>
      <c r="B215" s="2514" t="s">
        <v>405</v>
      </c>
      <c r="C215" s="2515"/>
      <c r="D215" s="2516"/>
      <c r="E215" s="2516"/>
      <c r="F215" s="2516"/>
      <c r="G215" s="2516"/>
      <c r="H215" s="2516"/>
      <c r="I215" s="2517"/>
      <c r="J215" s="2048"/>
      <c r="K215" s="2048"/>
      <c r="L215" s="2126"/>
      <c r="M215" s="2054"/>
      <c r="N215" s="2056"/>
      <c r="O215" s="2058"/>
      <c r="P215" s="2060"/>
      <c r="Q215" s="2060"/>
      <c r="R215" s="2060"/>
      <c r="S215" s="2060"/>
      <c r="T215" s="2060"/>
      <c r="U215" s="2060"/>
      <c r="V215" s="2060"/>
      <c r="W215" s="2060"/>
      <c r="X215" s="2060"/>
      <c r="Y215" s="2060"/>
      <c r="Z215" s="2068"/>
      <c r="AA215" s="2069"/>
    </row>
    <row r="216" spans="1:27">
      <c r="A216" s="2038"/>
      <c r="B216" s="2518"/>
      <c r="C216" s="2519"/>
      <c r="D216" s="2520"/>
      <c r="E216" s="2520"/>
      <c r="F216" s="2520"/>
      <c r="G216" s="2520"/>
      <c r="H216" s="2520"/>
      <c r="I216" s="2521"/>
      <c r="J216" s="2048"/>
      <c r="K216" s="2048"/>
      <c r="L216" s="2126"/>
      <c r="M216" s="2054"/>
      <c r="N216" s="2056"/>
      <c r="O216" s="2058"/>
      <c r="P216" s="2060"/>
      <c r="Q216" s="2060"/>
      <c r="R216" s="2060"/>
      <c r="S216" s="2060"/>
      <c r="T216" s="2060"/>
      <c r="U216" s="2060"/>
      <c r="V216" s="2060"/>
      <c r="W216" s="2060"/>
      <c r="X216" s="2060"/>
      <c r="Y216" s="2060"/>
      <c r="Z216" s="2070"/>
      <c r="AA216" s="2071"/>
    </row>
    <row r="217" spans="1:27">
      <c r="A217" s="2039"/>
      <c r="B217" s="2028" t="s">
        <v>395</v>
      </c>
      <c r="C217" s="2029"/>
      <c r="D217" s="2029"/>
      <c r="E217" s="2029"/>
      <c r="F217" s="2029"/>
      <c r="G217" s="2029"/>
      <c r="H217" s="2029"/>
      <c r="I217" s="2030"/>
      <c r="J217" s="2049"/>
      <c r="K217" s="2048"/>
      <c r="L217" s="2126"/>
      <c r="M217" s="2085" t="s">
        <v>372</v>
      </c>
      <c r="N217" s="2086">
        <f>SUM(P217:Y220)</f>
        <v>9491011.4100000001</v>
      </c>
      <c r="O217" s="2058" t="s">
        <v>112</v>
      </c>
      <c r="P217" s="2087">
        <v>1175544.1299999999</v>
      </c>
      <c r="Q217" s="2087">
        <v>1129320.94</v>
      </c>
      <c r="R217" s="2087">
        <v>1083097.74</v>
      </c>
      <c r="S217" s="2087">
        <v>1037718.8</v>
      </c>
      <c r="T217" s="2087">
        <v>990651.36</v>
      </c>
      <c r="U217" s="2087">
        <v>944428.13</v>
      </c>
      <c r="V217" s="2087">
        <v>898204.96</v>
      </c>
      <c r="W217" s="2087">
        <v>852319.45</v>
      </c>
      <c r="X217" s="2087">
        <v>805758.55</v>
      </c>
      <c r="Y217" s="2087">
        <v>573967.35</v>
      </c>
      <c r="Z217" s="2092"/>
      <c r="AA217" s="2093"/>
    </row>
    <row r="218" spans="1:27">
      <c r="A218" s="2039"/>
      <c r="B218" s="2028"/>
      <c r="C218" s="2029"/>
      <c r="D218" s="2029"/>
      <c r="E218" s="2029"/>
      <c r="F218" s="2029"/>
      <c r="G218" s="2029"/>
      <c r="H218" s="2029"/>
      <c r="I218" s="2030"/>
      <c r="J218" s="2049"/>
      <c r="K218" s="2048"/>
      <c r="L218" s="2125">
        <v>485342.52</v>
      </c>
      <c r="M218" s="2085"/>
      <c r="N218" s="2058"/>
      <c r="O218" s="2058"/>
      <c r="P218" s="2087"/>
      <c r="Q218" s="2087"/>
      <c r="R218" s="2087"/>
      <c r="S218" s="2087"/>
      <c r="T218" s="2087"/>
      <c r="U218" s="2087"/>
      <c r="V218" s="2087"/>
      <c r="W218" s="2087"/>
      <c r="X218" s="2087"/>
      <c r="Y218" s="2087"/>
      <c r="Z218" s="2061"/>
      <c r="AA218" s="2062"/>
    </row>
    <row r="219" spans="1:27">
      <c r="A219" s="2039"/>
      <c r="B219" s="2028"/>
      <c r="C219" s="2029"/>
      <c r="D219" s="2029"/>
      <c r="E219" s="2029"/>
      <c r="F219" s="2029"/>
      <c r="G219" s="2029"/>
      <c r="H219" s="2029"/>
      <c r="I219" s="2030"/>
      <c r="J219" s="2049"/>
      <c r="K219" s="2048"/>
      <c r="L219" s="2126"/>
      <c r="M219" s="2085"/>
      <c r="N219" s="2058"/>
      <c r="O219" s="2058"/>
      <c r="P219" s="2087"/>
      <c r="Q219" s="2087"/>
      <c r="R219" s="2087"/>
      <c r="S219" s="2087"/>
      <c r="T219" s="2087"/>
      <c r="U219" s="2087"/>
      <c r="V219" s="2087"/>
      <c r="W219" s="2087"/>
      <c r="X219" s="2087"/>
      <c r="Y219" s="2087"/>
      <c r="Z219" s="2061">
        <v>0</v>
      </c>
      <c r="AA219" s="2062"/>
    </row>
    <row r="220" spans="1:27" ht="13.5" thickBot="1">
      <c r="A220" s="2040"/>
      <c r="B220" s="2031"/>
      <c r="C220" s="2032"/>
      <c r="D220" s="2032"/>
      <c r="E220" s="2032"/>
      <c r="F220" s="2032"/>
      <c r="G220" s="2032"/>
      <c r="H220" s="2032"/>
      <c r="I220" s="2033"/>
      <c r="J220" s="2128"/>
      <c r="K220" s="2050"/>
      <c r="L220" s="2127"/>
      <c r="M220" s="2129"/>
      <c r="N220" s="2091"/>
      <c r="O220" s="2091"/>
      <c r="P220" s="2088"/>
      <c r="Q220" s="2088"/>
      <c r="R220" s="2088"/>
      <c r="S220" s="2088"/>
      <c r="T220" s="2088"/>
      <c r="U220" s="2088"/>
      <c r="V220" s="2088"/>
      <c r="W220" s="2088"/>
      <c r="X220" s="2088"/>
      <c r="Y220" s="2088"/>
      <c r="Z220" s="2175"/>
      <c r="AA220" s="2196"/>
    </row>
    <row r="221" spans="1:27" ht="14.25" thickTop="1" thickBot="1">
      <c r="A221" s="1149"/>
      <c r="B221" s="1146"/>
      <c r="C221" s="1146"/>
      <c r="D221" s="1146"/>
      <c r="E221" s="1146"/>
      <c r="F221" s="1146"/>
      <c r="G221" s="1146"/>
      <c r="H221" s="1146"/>
      <c r="I221" s="1146"/>
      <c r="J221" s="1147"/>
      <c r="K221" s="1147"/>
      <c r="L221" s="814"/>
      <c r="M221" s="826"/>
      <c r="N221" s="1147"/>
      <c r="O221" s="1147"/>
      <c r="P221" s="656"/>
      <c r="Q221" s="656"/>
      <c r="R221" s="656"/>
      <c r="S221" s="656"/>
      <c r="T221" s="656"/>
      <c r="U221" s="656"/>
      <c r="V221" s="656"/>
      <c r="W221" s="656"/>
      <c r="X221" s="656"/>
      <c r="Y221" s="656"/>
      <c r="Z221" s="812"/>
      <c r="AA221" s="813"/>
    </row>
    <row r="222" spans="1:27" ht="13.5" thickTop="1">
      <c r="A222" s="2037">
        <v>15</v>
      </c>
      <c r="B222" s="2041" t="s">
        <v>101</v>
      </c>
      <c r="C222" s="2042"/>
      <c r="D222" s="2042">
        <v>801</v>
      </c>
      <c r="E222" s="2042"/>
      <c r="F222" s="2045" t="s">
        <v>141</v>
      </c>
      <c r="G222" s="2045"/>
      <c r="H222" s="2045"/>
      <c r="I222" s="2045"/>
      <c r="J222" s="2047">
        <v>2012</v>
      </c>
      <c r="K222" s="2047">
        <v>2013</v>
      </c>
      <c r="L222" s="2051">
        <f>SUM(N222,L228)</f>
        <v>198816</v>
      </c>
      <c r="M222" s="2053" t="s">
        <v>120</v>
      </c>
      <c r="N222" s="2055">
        <f>SUM(N226:N233)</f>
        <v>116150</v>
      </c>
      <c r="O222" s="2057" t="s">
        <v>112</v>
      </c>
      <c r="P222" s="2059">
        <f>SUM(P226:P233)</f>
        <v>116150</v>
      </c>
      <c r="Q222" s="2059">
        <f>SUM(Q226:Q233)</f>
        <v>0</v>
      </c>
      <c r="R222" s="2059">
        <f>SUM(R226:R233)</f>
        <v>0</v>
      </c>
      <c r="S222" s="2059">
        <f t="shared" ref="S222:Y222" si="16">SUM(S226:S233)</f>
        <v>0</v>
      </c>
      <c r="T222" s="2059">
        <f t="shared" si="16"/>
        <v>0</v>
      </c>
      <c r="U222" s="2059">
        <f t="shared" si="16"/>
        <v>0</v>
      </c>
      <c r="V222" s="2059">
        <f t="shared" si="16"/>
        <v>0</v>
      </c>
      <c r="W222" s="2059">
        <f t="shared" si="16"/>
        <v>0</v>
      </c>
      <c r="X222" s="2059">
        <f t="shared" si="16"/>
        <v>0</v>
      </c>
      <c r="Y222" s="2059">
        <f t="shared" si="16"/>
        <v>0</v>
      </c>
      <c r="Z222" s="2066">
        <f>SUM(AA226:AA233)</f>
        <v>116150</v>
      </c>
      <c r="AA222" s="2067"/>
    </row>
    <row r="223" spans="1:27">
      <c r="A223" s="2038"/>
      <c r="B223" s="2043"/>
      <c r="C223" s="2044"/>
      <c r="D223" s="2044"/>
      <c r="E223" s="2044"/>
      <c r="F223" s="2046"/>
      <c r="G223" s="2046"/>
      <c r="H223" s="2046"/>
      <c r="I223" s="2046"/>
      <c r="J223" s="2048"/>
      <c r="K223" s="2048"/>
      <c r="L223" s="2052"/>
      <c r="M223" s="2054"/>
      <c r="N223" s="2056"/>
      <c r="O223" s="2058"/>
      <c r="P223" s="2060"/>
      <c r="Q223" s="2060"/>
      <c r="R223" s="2060"/>
      <c r="S223" s="2060"/>
      <c r="T223" s="2060"/>
      <c r="U223" s="2060"/>
      <c r="V223" s="2060"/>
      <c r="W223" s="2060"/>
      <c r="X223" s="2060"/>
      <c r="Y223" s="2060"/>
      <c r="Z223" s="2068"/>
      <c r="AA223" s="2069"/>
    </row>
    <row r="224" spans="1:27">
      <c r="A224" s="2038"/>
      <c r="B224" s="2072" t="s">
        <v>107</v>
      </c>
      <c r="C224" s="2058"/>
      <c r="D224" s="2058">
        <v>80113</v>
      </c>
      <c r="E224" s="2058"/>
      <c r="F224" s="2046" t="s">
        <v>382</v>
      </c>
      <c r="G224" s="2046"/>
      <c r="H224" s="2046"/>
      <c r="I224" s="2046"/>
      <c r="J224" s="2048"/>
      <c r="K224" s="2048"/>
      <c r="L224" s="2052"/>
      <c r="M224" s="2054"/>
      <c r="N224" s="2056"/>
      <c r="O224" s="2058"/>
      <c r="P224" s="2060"/>
      <c r="Q224" s="2060"/>
      <c r="R224" s="2060"/>
      <c r="S224" s="2060"/>
      <c r="T224" s="2060"/>
      <c r="U224" s="2060"/>
      <c r="V224" s="2060"/>
      <c r="W224" s="2060"/>
      <c r="X224" s="2060"/>
      <c r="Y224" s="2060"/>
      <c r="Z224" s="2068"/>
      <c r="AA224" s="2069"/>
    </row>
    <row r="225" spans="1:27">
      <c r="A225" s="2038"/>
      <c r="B225" s="2073"/>
      <c r="C225" s="2074"/>
      <c r="D225" s="2074"/>
      <c r="E225" s="2074"/>
      <c r="F225" s="2075"/>
      <c r="G225" s="2075"/>
      <c r="H225" s="2075"/>
      <c r="I225" s="2075"/>
      <c r="J225" s="2048"/>
      <c r="K225" s="2048"/>
      <c r="L225" s="2052"/>
      <c r="M225" s="2054"/>
      <c r="N225" s="2056"/>
      <c r="O225" s="2058"/>
      <c r="P225" s="2060"/>
      <c r="Q225" s="2060"/>
      <c r="R225" s="2060"/>
      <c r="S225" s="2060"/>
      <c r="T225" s="2060"/>
      <c r="U225" s="2060"/>
      <c r="V225" s="2060"/>
      <c r="W225" s="2060"/>
      <c r="X225" s="2060"/>
      <c r="Y225" s="2060"/>
      <c r="Z225" s="2070"/>
      <c r="AA225" s="2071"/>
    </row>
    <row r="226" spans="1:27">
      <c r="A226" s="2039"/>
      <c r="B226" s="2514" t="s">
        <v>383</v>
      </c>
      <c r="C226" s="2515"/>
      <c r="D226" s="2515"/>
      <c r="E226" s="2515"/>
      <c r="F226" s="2515"/>
      <c r="G226" s="2515"/>
      <c r="H226" s="2515"/>
      <c r="I226" s="2522"/>
      <c r="J226" s="2049"/>
      <c r="K226" s="2048"/>
      <c r="L226" s="2052"/>
      <c r="M226" s="2085" t="s">
        <v>143</v>
      </c>
      <c r="N226" s="2086">
        <f>SUM(P226:Y229)</f>
        <v>0</v>
      </c>
      <c r="O226" s="2058" t="s">
        <v>112</v>
      </c>
      <c r="P226" s="2087"/>
      <c r="Q226" s="2087">
        <v>0</v>
      </c>
      <c r="R226" s="2087">
        <v>0</v>
      </c>
      <c r="S226" s="2087">
        <v>0</v>
      </c>
      <c r="T226" s="2087">
        <v>0</v>
      </c>
      <c r="U226" s="2087">
        <v>0</v>
      </c>
      <c r="V226" s="2087">
        <v>0</v>
      </c>
      <c r="W226" s="2087">
        <v>0</v>
      </c>
      <c r="X226" s="2087">
        <v>0</v>
      </c>
      <c r="Y226" s="2087">
        <v>0</v>
      </c>
      <c r="Z226" s="2092"/>
      <c r="AA226" s="2093"/>
    </row>
    <row r="227" spans="1:27">
      <c r="A227" s="2039"/>
      <c r="B227" s="2523"/>
      <c r="C227" s="2524"/>
      <c r="D227" s="2524"/>
      <c r="E227" s="2524"/>
      <c r="F227" s="2524"/>
      <c r="G227" s="2524"/>
      <c r="H227" s="2524"/>
      <c r="I227" s="2525"/>
      <c r="J227" s="2049"/>
      <c r="K227" s="2048"/>
      <c r="L227" s="2052"/>
      <c r="M227" s="2085"/>
      <c r="N227" s="2058"/>
      <c r="O227" s="2058"/>
      <c r="P227" s="2087"/>
      <c r="Q227" s="2087"/>
      <c r="R227" s="2087"/>
      <c r="S227" s="2087"/>
      <c r="T227" s="2087"/>
      <c r="U227" s="2087"/>
      <c r="V227" s="2087"/>
      <c r="W227" s="2087"/>
      <c r="X227" s="2087"/>
      <c r="Y227" s="2087"/>
      <c r="Z227" s="2061"/>
      <c r="AA227" s="2062"/>
    </row>
    <row r="228" spans="1:27">
      <c r="A228" s="2039"/>
      <c r="B228" s="2523"/>
      <c r="C228" s="2524"/>
      <c r="D228" s="2524"/>
      <c r="E228" s="2524"/>
      <c r="F228" s="2524"/>
      <c r="G228" s="2524"/>
      <c r="H228" s="2524"/>
      <c r="I228" s="2525"/>
      <c r="J228" s="2049"/>
      <c r="K228" s="2048"/>
      <c r="L228" s="2089">
        <v>82666</v>
      </c>
      <c r="M228" s="2085"/>
      <c r="N228" s="2058"/>
      <c r="O228" s="2058"/>
      <c r="P228" s="2087"/>
      <c r="Q228" s="2087"/>
      <c r="R228" s="2087"/>
      <c r="S228" s="2087"/>
      <c r="T228" s="2087"/>
      <c r="U228" s="2087"/>
      <c r="V228" s="2087"/>
      <c r="W228" s="2087"/>
      <c r="X228" s="2087"/>
      <c r="Y228" s="2087"/>
      <c r="Z228" s="2061" t="s">
        <v>154</v>
      </c>
      <c r="AA228" s="2062">
        <f>P222</f>
        <v>116150</v>
      </c>
    </row>
    <row r="229" spans="1:27">
      <c r="A229" s="2039"/>
      <c r="B229" s="2518"/>
      <c r="C229" s="2519"/>
      <c r="D229" s="2519"/>
      <c r="E229" s="2519"/>
      <c r="F229" s="2519"/>
      <c r="G229" s="2519"/>
      <c r="H229" s="2519"/>
      <c r="I229" s="2526"/>
      <c r="J229" s="2049"/>
      <c r="K229" s="2048"/>
      <c r="L229" s="2089"/>
      <c r="M229" s="2085"/>
      <c r="N229" s="2058"/>
      <c r="O229" s="2058"/>
      <c r="P229" s="2087"/>
      <c r="Q229" s="2087"/>
      <c r="R229" s="2087"/>
      <c r="S229" s="2087"/>
      <c r="T229" s="2087"/>
      <c r="U229" s="2087"/>
      <c r="V229" s="2087"/>
      <c r="W229" s="2087"/>
      <c r="X229" s="2087"/>
      <c r="Y229" s="2087"/>
      <c r="Z229" s="2061"/>
      <c r="AA229" s="2062"/>
    </row>
    <row r="230" spans="1:27">
      <c r="A230" s="2039"/>
      <c r="B230" s="2028" t="s">
        <v>384</v>
      </c>
      <c r="C230" s="2029"/>
      <c r="D230" s="2029"/>
      <c r="E230" s="2029"/>
      <c r="F230" s="2029"/>
      <c r="G230" s="2029"/>
      <c r="H230" s="2029"/>
      <c r="I230" s="2030"/>
      <c r="J230" s="2048"/>
      <c r="K230" s="2048"/>
      <c r="L230" s="2089"/>
      <c r="M230" s="2034" t="s">
        <v>123</v>
      </c>
      <c r="N230" s="2086">
        <f>SUM(P230:Y233)</f>
        <v>116150</v>
      </c>
      <c r="O230" s="2058" t="s">
        <v>112</v>
      </c>
      <c r="P230" s="2087">
        <v>116150</v>
      </c>
      <c r="Q230" s="2087">
        <v>0</v>
      </c>
      <c r="R230" s="2087">
        <v>0</v>
      </c>
      <c r="S230" s="2087">
        <v>0</v>
      </c>
      <c r="T230" s="2087">
        <v>0</v>
      </c>
      <c r="U230" s="2087">
        <v>0</v>
      </c>
      <c r="V230" s="2087">
        <v>0</v>
      </c>
      <c r="W230" s="2087">
        <v>0</v>
      </c>
      <c r="X230" s="2087">
        <v>0</v>
      </c>
      <c r="Y230" s="2087">
        <v>0</v>
      </c>
      <c r="Z230" s="2061"/>
      <c r="AA230" s="2062"/>
    </row>
    <row r="231" spans="1:27">
      <c r="A231" s="2039"/>
      <c r="B231" s="2028"/>
      <c r="C231" s="2029"/>
      <c r="D231" s="2029"/>
      <c r="E231" s="2029"/>
      <c r="F231" s="2029"/>
      <c r="G231" s="2029"/>
      <c r="H231" s="2029"/>
      <c r="I231" s="2030"/>
      <c r="J231" s="2048"/>
      <c r="K231" s="2048"/>
      <c r="L231" s="2089"/>
      <c r="M231" s="2035"/>
      <c r="N231" s="2058"/>
      <c r="O231" s="2058"/>
      <c r="P231" s="2087"/>
      <c r="Q231" s="2087"/>
      <c r="R231" s="2087"/>
      <c r="S231" s="2087"/>
      <c r="T231" s="2087"/>
      <c r="U231" s="2087"/>
      <c r="V231" s="2087"/>
      <c r="W231" s="2087"/>
      <c r="X231" s="2087"/>
      <c r="Y231" s="2087"/>
      <c r="Z231" s="2061"/>
      <c r="AA231" s="2062"/>
    </row>
    <row r="232" spans="1:27">
      <c r="A232" s="2039"/>
      <c r="B232" s="2028"/>
      <c r="C232" s="2029"/>
      <c r="D232" s="2029"/>
      <c r="E232" s="2029"/>
      <c r="F232" s="2029"/>
      <c r="G232" s="2029"/>
      <c r="H232" s="2029"/>
      <c r="I232" s="2030"/>
      <c r="J232" s="2048"/>
      <c r="K232" s="2048"/>
      <c r="L232" s="2089"/>
      <c r="M232" s="2035"/>
      <c r="N232" s="2058"/>
      <c r="O232" s="2058"/>
      <c r="P232" s="2087"/>
      <c r="Q232" s="2087"/>
      <c r="R232" s="2087"/>
      <c r="S232" s="2087"/>
      <c r="T232" s="2087"/>
      <c r="U232" s="2087"/>
      <c r="V232" s="2087"/>
      <c r="W232" s="2087"/>
      <c r="X232" s="2087"/>
      <c r="Y232" s="2087"/>
      <c r="Z232" s="2063"/>
      <c r="AA232" s="2062"/>
    </row>
    <row r="233" spans="1:27" ht="13.5" thickBot="1">
      <c r="A233" s="2040"/>
      <c r="B233" s="2031"/>
      <c r="C233" s="2032"/>
      <c r="D233" s="2032"/>
      <c r="E233" s="2032"/>
      <c r="F233" s="2032"/>
      <c r="G233" s="2032"/>
      <c r="H233" s="2032"/>
      <c r="I233" s="2033"/>
      <c r="J233" s="2050"/>
      <c r="K233" s="2050"/>
      <c r="L233" s="2090"/>
      <c r="M233" s="2036"/>
      <c r="N233" s="2091"/>
      <c r="O233" s="2091"/>
      <c r="P233" s="2088"/>
      <c r="Q233" s="2088"/>
      <c r="R233" s="2088"/>
      <c r="S233" s="2088"/>
      <c r="T233" s="2088"/>
      <c r="U233" s="2088"/>
      <c r="V233" s="2088"/>
      <c r="W233" s="2088"/>
      <c r="X233" s="2088"/>
      <c r="Y233" s="2088"/>
      <c r="Z233" s="2064"/>
      <c r="AA233" s="2065"/>
    </row>
    <row r="234" spans="1:27" ht="14.25" thickTop="1" thickBot="1">
      <c r="A234" s="1149"/>
      <c r="B234" s="1146"/>
      <c r="C234" s="1146"/>
      <c r="D234" s="1146"/>
      <c r="E234" s="1146"/>
      <c r="F234" s="1146"/>
      <c r="G234" s="1146"/>
      <c r="H234" s="1146"/>
      <c r="I234" s="1146"/>
      <c r="J234" s="1147"/>
      <c r="K234" s="1147"/>
      <c r="L234" s="814"/>
      <c r="M234" s="826"/>
      <c r="N234" s="1147"/>
      <c r="O234" s="1147"/>
      <c r="P234" s="656"/>
      <c r="Q234" s="656"/>
      <c r="R234" s="656"/>
      <c r="S234" s="656"/>
      <c r="T234" s="656"/>
      <c r="U234" s="656"/>
      <c r="V234" s="656"/>
      <c r="W234" s="656"/>
      <c r="X234" s="656"/>
      <c r="Y234" s="656"/>
      <c r="Z234" s="812"/>
      <c r="AA234" s="813"/>
    </row>
    <row r="235" spans="1:27" ht="13.5" thickTop="1">
      <c r="A235" s="2037">
        <v>16</v>
      </c>
      <c r="B235" s="2041" t="s">
        <v>101</v>
      </c>
      <c r="C235" s="2042"/>
      <c r="D235" s="2042">
        <v>853</v>
      </c>
      <c r="E235" s="2042"/>
      <c r="F235" s="2045" t="s">
        <v>387</v>
      </c>
      <c r="G235" s="2045"/>
      <c r="H235" s="2045"/>
      <c r="I235" s="2045"/>
      <c r="J235" s="2047">
        <v>2012</v>
      </c>
      <c r="K235" s="2047">
        <v>2014</v>
      </c>
      <c r="L235" s="2051">
        <f>SUM(N235,L241)</f>
        <v>313263</v>
      </c>
      <c r="M235" s="2053" t="s">
        <v>120</v>
      </c>
      <c r="N235" s="2055">
        <f>SUM(N239:N246)</f>
        <v>233966</v>
      </c>
      <c r="O235" s="2057" t="s">
        <v>112</v>
      </c>
      <c r="P235" s="2059">
        <f>SUM(P239:P246)</f>
        <v>139043</v>
      </c>
      <c r="Q235" s="2059">
        <f>SUM(Q239:Q246)</f>
        <v>94923</v>
      </c>
      <c r="R235" s="2059">
        <f>SUM(R239:R246)</f>
        <v>0</v>
      </c>
      <c r="S235" s="2059">
        <f t="shared" ref="S235:Y235" si="17">SUM(S239:S246)</f>
        <v>0</v>
      </c>
      <c r="T235" s="2059">
        <f t="shared" si="17"/>
        <v>0</v>
      </c>
      <c r="U235" s="2059">
        <f t="shared" si="17"/>
        <v>0</v>
      </c>
      <c r="V235" s="2059">
        <f t="shared" si="17"/>
        <v>0</v>
      </c>
      <c r="W235" s="2059">
        <f t="shared" si="17"/>
        <v>0</v>
      </c>
      <c r="X235" s="2059">
        <f t="shared" si="17"/>
        <v>0</v>
      </c>
      <c r="Y235" s="2059">
        <f t="shared" si="17"/>
        <v>0</v>
      </c>
      <c r="Z235" s="2066">
        <f>SUM(AA239:AA246)</f>
        <v>233966</v>
      </c>
      <c r="AA235" s="2067"/>
    </row>
    <row r="236" spans="1:27">
      <c r="A236" s="2038"/>
      <c r="B236" s="2043"/>
      <c r="C236" s="2044"/>
      <c r="D236" s="2044"/>
      <c r="E236" s="2044"/>
      <c r="F236" s="2046"/>
      <c r="G236" s="2046"/>
      <c r="H236" s="2046"/>
      <c r="I236" s="2046"/>
      <c r="J236" s="2048"/>
      <c r="K236" s="2048"/>
      <c r="L236" s="2052"/>
      <c r="M236" s="2054"/>
      <c r="N236" s="2056"/>
      <c r="O236" s="2058"/>
      <c r="P236" s="2060"/>
      <c r="Q236" s="2060"/>
      <c r="R236" s="2060"/>
      <c r="S236" s="2060"/>
      <c r="T236" s="2060"/>
      <c r="U236" s="2060"/>
      <c r="V236" s="2060"/>
      <c r="W236" s="2060"/>
      <c r="X236" s="2060"/>
      <c r="Y236" s="2060"/>
      <c r="Z236" s="2068"/>
      <c r="AA236" s="2069"/>
    </row>
    <row r="237" spans="1:27">
      <c r="A237" s="2038"/>
      <c r="B237" s="2072" t="s">
        <v>107</v>
      </c>
      <c r="C237" s="2058"/>
      <c r="D237" s="2058">
        <v>85305</v>
      </c>
      <c r="E237" s="2058"/>
      <c r="F237" s="2046" t="s">
        <v>388</v>
      </c>
      <c r="G237" s="2046"/>
      <c r="H237" s="2046"/>
      <c r="I237" s="2046"/>
      <c r="J237" s="2048"/>
      <c r="K237" s="2048"/>
      <c r="L237" s="2052"/>
      <c r="M237" s="2054"/>
      <c r="N237" s="2056"/>
      <c r="O237" s="2058"/>
      <c r="P237" s="2060"/>
      <c r="Q237" s="2060"/>
      <c r="R237" s="2060"/>
      <c r="S237" s="2060"/>
      <c r="T237" s="2060"/>
      <c r="U237" s="2060"/>
      <c r="V237" s="2060"/>
      <c r="W237" s="2060"/>
      <c r="X237" s="2060"/>
      <c r="Y237" s="2060"/>
      <c r="Z237" s="2068"/>
      <c r="AA237" s="2069"/>
    </row>
    <row r="238" spans="1:27">
      <c r="A238" s="2038"/>
      <c r="B238" s="2073"/>
      <c r="C238" s="2074"/>
      <c r="D238" s="2074"/>
      <c r="E238" s="2074"/>
      <c r="F238" s="2075"/>
      <c r="G238" s="2075"/>
      <c r="H238" s="2075"/>
      <c r="I238" s="2075"/>
      <c r="J238" s="2048"/>
      <c r="K238" s="2048"/>
      <c r="L238" s="2052"/>
      <c r="M238" s="2054"/>
      <c r="N238" s="2056"/>
      <c r="O238" s="2058"/>
      <c r="P238" s="2060"/>
      <c r="Q238" s="2060"/>
      <c r="R238" s="2060"/>
      <c r="S238" s="2060"/>
      <c r="T238" s="2060"/>
      <c r="U238" s="2060"/>
      <c r="V238" s="2060"/>
      <c r="W238" s="2060"/>
      <c r="X238" s="2060"/>
      <c r="Y238" s="2060"/>
      <c r="Z238" s="2070"/>
      <c r="AA238" s="2071"/>
    </row>
    <row r="239" spans="1:27">
      <c r="A239" s="2039"/>
      <c r="B239" s="2514" t="s">
        <v>385</v>
      </c>
      <c r="C239" s="2515"/>
      <c r="D239" s="2515"/>
      <c r="E239" s="2515"/>
      <c r="F239" s="2515"/>
      <c r="G239" s="2515"/>
      <c r="H239" s="2515"/>
      <c r="I239" s="2522"/>
      <c r="J239" s="2049"/>
      <c r="K239" s="2048"/>
      <c r="L239" s="2052"/>
      <c r="M239" s="2085" t="s">
        <v>143</v>
      </c>
      <c r="N239" s="2086">
        <f>SUM(P239:Y242)</f>
        <v>198871</v>
      </c>
      <c r="O239" s="2058" t="s">
        <v>112</v>
      </c>
      <c r="P239" s="2087">
        <v>118186</v>
      </c>
      <c r="Q239" s="2087">
        <v>80685</v>
      </c>
      <c r="R239" s="2087">
        <v>0</v>
      </c>
      <c r="S239" s="2087">
        <v>0</v>
      </c>
      <c r="T239" s="2087">
        <v>0</v>
      </c>
      <c r="U239" s="2087">
        <v>0</v>
      </c>
      <c r="V239" s="2087">
        <v>0</v>
      </c>
      <c r="W239" s="2087">
        <v>0</v>
      </c>
      <c r="X239" s="2087">
        <v>0</v>
      </c>
      <c r="Y239" s="2087">
        <v>0</v>
      </c>
      <c r="Z239" s="2092"/>
      <c r="AA239" s="2093"/>
    </row>
    <row r="240" spans="1:27">
      <c r="A240" s="2039"/>
      <c r="B240" s="2523"/>
      <c r="C240" s="2524"/>
      <c r="D240" s="2524"/>
      <c r="E240" s="2524"/>
      <c r="F240" s="2524"/>
      <c r="G240" s="2524"/>
      <c r="H240" s="2524"/>
      <c r="I240" s="2525"/>
      <c r="J240" s="2049"/>
      <c r="K240" s="2048"/>
      <c r="L240" s="2052"/>
      <c r="M240" s="2085"/>
      <c r="N240" s="2058"/>
      <c r="O240" s="2058"/>
      <c r="P240" s="2087"/>
      <c r="Q240" s="2087"/>
      <c r="R240" s="2087"/>
      <c r="S240" s="2087"/>
      <c r="T240" s="2087"/>
      <c r="U240" s="2087"/>
      <c r="V240" s="2087"/>
      <c r="W240" s="2087"/>
      <c r="X240" s="2087"/>
      <c r="Y240" s="2087"/>
      <c r="Z240" s="2061"/>
      <c r="AA240" s="2062"/>
    </row>
    <row r="241" spans="1:27">
      <c r="A241" s="2039"/>
      <c r="B241" s="2523"/>
      <c r="C241" s="2524"/>
      <c r="D241" s="2524"/>
      <c r="E241" s="2524"/>
      <c r="F241" s="2524"/>
      <c r="G241" s="2524"/>
      <c r="H241" s="2524"/>
      <c r="I241" s="2525"/>
      <c r="J241" s="2049"/>
      <c r="K241" s="2048"/>
      <c r="L241" s="2089">
        <v>79297</v>
      </c>
      <c r="M241" s="2085"/>
      <c r="N241" s="2058"/>
      <c r="O241" s="2058"/>
      <c r="P241" s="2087"/>
      <c r="Q241" s="2087"/>
      <c r="R241" s="2087"/>
      <c r="S241" s="2087"/>
      <c r="T241" s="2087"/>
      <c r="U241" s="2087"/>
      <c r="V241" s="2087"/>
      <c r="W241" s="2087"/>
      <c r="X241" s="2087"/>
      <c r="Y241" s="2087"/>
      <c r="Z241" s="2061" t="s">
        <v>154</v>
      </c>
      <c r="AA241" s="2062">
        <f>P235</f>
        <v>139043</v>
      </c>
    </row>
    <row r="242" spans="1:27">
      <c r="A242" s="2039"/>
      <c r="B242" s="2518"/>
      <c r="C242" s="2519"/>
      <c r="D242" s="2519"/>
      <c r="E242" s="2519"/>
      <c r="F242" s="2519"/>
      <c r="G242" s="2519"/>
      <c r="H242" s="2519"/>
      <c r="I242" s="2526"/>
      <c r="J242" s="2049"/>
      <c r="K242" s="2048"/>
      <c r="L242" s="2089"/>
      <c r="M242" s="2085"/>
      <c r="N242" s="2058"/>
      <c r="O242" s="2058"/>
      <c r="P242" s="2087"/>
      <c r="Q242" s="2087"/>
      <c r="R242" s="2087"/>
      <c r="S242" s="2087"/>
      <c r="T242" s="2087"/>
      <c r="U242" s="2087"/>
      <c r="V242" s="2087"/>
      <c r="W242" s="2087"/>
      <c r="X242" s="2087"/>
      <c r="Y242" s="2087"/>
      <c r="Z242" s="2061"/>
      <c r="AA242" s="2062"/>
    </row>
    <row r="243" spans="1:27">
      <c r="A243" s="2039"/>
      <c r="B243" s="2028" t="s">
        <v>386</v>
      </c>
      <c r="C243" s="2029"/>
      <c r="D243" s="2029"/>
      <c r="E243" s="2029"/>
      <c r="F243" s="2029"/>
      <c r="G243" s="2029"/>
      <c r="H243" s="2029"/>
      <c r="I243" s="2030"/>
      <c r="J243" s="2048"/>
      <c r="K243" s="2048"/>
      <c r="L243" s="2089"/>
      <c r="M243" s="2034" t="s">
        <v>123</v>
      </c>
      <c r="N243" s="2086">
        <f>SUM(P243:Y246)</f>
        <v>35095</v>
      </c>
      <c r="O243" s="2058" t="s">
        <v>112</v>
      </c>
      <c r="P243" s="2087">
        <v>20857</v>
      </c>
      <c r="Q243" s="2087">
        <v>14238</v>
      </c>
      <c r="R243" s="2087">
        <v>0</v>
      </c>
      <c r="S243" s="2087">
        <v>0</v>
      </c>
      <c r="T243" s="2087">
        <v>0</v>
      </c>
      <c r="U243" s="2087">
        <v>0</v>
      </c>
      <c r="V243" s="2087">
        <v>0</v>
      </c>
      <c r="W243" s="2087">
        <v>0</v>
      </c>
      <c r="X243" s="2087">
        <v>0</v>
      </c>
      <c r="Y243" s="2087">
        <v>0</v>
      </c>
      <c r="Z243" s="2061" t="s">
        <v>345</v>
      </c>
      <c r="AA243" s="2062">
        <f>Q235</f>
        <v>94923</v>
      </c>
    </row>
    <row r="244" spans="1:27">
      <c r="A244" s="2039"/>
      <c r="B244" s="2028"/>
      <c r="C244" s="2029"/>
      <c r="D244" s="2029"/>
      <c r="E244" s="2029"/>
      <c r="F244" s="2029"/>
      <c r="G244" s="2029"/>
      <c r="H244" s="2029"/>
      <c r="I244" s="2030"/>
      <c r="J244" s="2048"/>
      <c r="K244" s="2048"/>
      <c r="L244" s="2089"/>
      <c r="M244" s="2035"/>
      <c r="N244" s="2058"/>
      <c r="O244" s="2058"/>
      <c r="P244" s="2087"/>
      <c r="Q244" s="2087"/>
      <c r="R244" s="2087"/>
      <c r="S244" s="2087"/>
      <c r="T244" s="2087"/>
      <c r="U244" s="2087"/>
      <c r="V244" s="2087"/>
      <c r="W244" s="2087"/>
      <c r="X244" s="2087"/>
      <c r="Y244" s="2087"/>
      <c r="Z244" s="2061"/>
      <c r="AA244" s="2062"/>
    </row>
    <row r="245" spans="1:27">
      <c r="A245" s="2039"/>
      <c r="B245" s="2028"/>
      <c r="C245" s="2029"/>
      <c r="D245" s="2029"/>
      <c r="E245" s="2029"/>
      <c r="F245" s="2029"/>
      <c r="G245" s="2029"/>
      <c r="H245" s="2029"/>
      <c r="I245" s="2030"/>
      <c r="J245" s="2048"/>
      <c r="K245" s="2048"/>
      <c r="L245" s="2089"/>
      <c r="M245" s="2035"/>
      <c r="N245" s="2058"/>
      <c r="O245" s="2058"/>
      <c r="P245" s="2087"/>
      <c r="Q245" s="2087"/>
      <c r="R245" s="2087"/>
      <c r="S245" s="2087"/>
      <c r="T245" s="2087"/>
      <c r="U245" s="2087"/>
      <c r="V245" s="2087"/>
      <c r="W245" s="2087"/>
      <c r="X245" s="2087"/>
      <c r="Y245" s="2087"/>
      <c r="Z245" s="2063"/>
      <c r="AA245" s="2062"/>
    </row>
    <row r="246" spans="1:27" ht="13.5" thickBot="1">
      <c r="A246" s="2040"/>
      <c r="B246" s="2031"/>
      <c r="C246" s="2032"/>
      <c r="D246" s="2032"/>
      <c r="E246" s="2032"/>
      <c r="F246" s="2032"/>
      <c r="G246" s="2032"/>
      <c r="H246" s="2032"/>
      <c r="I246" s="2033"/>
      <c r="J246" s="2050"/>
      <c r="K246" s="2050"/>
      <c r="L246" s="2090"/>
      <c r="M246" s="2036"/>
      <c r="N246" s="2091"/>
      <c r="O246" s="2091"/>
      <c r="P246" s="2088"/>
      <c r="Q246" s="2088"/>
      <c r="R246" s="2088"/>
      <c r="S246" s="2088"/>
      <c r="T246" s="2088"/>
      <c r="U246" s="2088"/>
      <c r="V246" s="2088"/>
      <c r="W246" s="2088"/>
      <c r="X246" s="2088"/>
      <c r="Y246" s="2088"/>
      <c r="Z246" s="2064"/>
      <c r="AA246" s="2065"/>
    </row>
    <row r="247" spans="1:27" ht="14.25" thickTop="1" thickBot="1">
      <c r="A247" s="1149"/>
      <c r="B247" s="1146"/>
      <c r="C247" s="1146"/>
      <c r="D247" s="1146"/>
      <c r="E247" s="1146"/>
      <c r="F247" s="1146"/>
      <c r="G247" s="1146"/>
      <c r="H247" s="1146"/>
      <c r="I247" s="1146"/>
      <c r="J247" s="1147"/>
      <c r="K247" s="1147"/>
      <c r="L247" s="814"/>
      <c r="M247" s="826"/>
      <c r="N247" s="1147"/>
      <c r="O247" s="1147"/>
      <c r="P247" s="656"/>
      <c r="Q247" s="656"/>
      <c r="R247" s="656"/>
      <c r="S247" s="656"/>
      <c r="T247" s="656"/>
      <c r="U247" s="656"/>
      <c r="V247" s="656"/>
      <c r="W247" s="656"/>
      <c r="X247" s="656"/>
      <c r="Y247" s="656"/>
      <c r="Z247" s="812"/>
      <c r="AA247" s="813"/>
    </row>
    <row r="248" spans="1:27" ht="13.5" thickTop="1">
      <c r="A248" s="2037">
        <v>17</v>
      </c>
      <c r="B248" s="2041" t="s">
        <v>101</v>
      </c>
      <c r="C248" s="2042"/>
      <c r="D248" s="2042">
        <v>853</v>
      </c>
      <c r="E248" s="2042"/>
      <c r="F248" s="2045" t="s">
        <v>387</v>
      </c>
      <c r="G248" s="2045"/>
      <c r="H248" s="2045"/>
      <c r="I248" s="2045"/>
      <c r="J248" s="2047">
        <v>2012</v>
      </c>
      <c r="K248" s="2047">
        <v>2014</v>
      </c>
      <c r="L248" s="2051">
        <f>SUM(N248,L254)</f>
        <v>182092</v>
      </c>
      <c r="M248" s="2053" t="s">
        <v>120</v>
      </c>
      <c r="N248" s="2055">
        <f>SUM(N252:N259)</f>
        <v>148712</v>
      </c>
      <c r="O248" s="2057" t="s">
        <v>112</v>
      </c>
      <c r="P248" s="2059">
        <f>SUM(P252:P259)</f>
        <v>87188</v>
      </c>
      <c r="Q248" s="2059">
        <f>SUM(Q252:Q259)</f>
        <v>61524</v>
      </c>
      <c r="R248" s="2059">
        <f>SUM(R252:R259)</f>
        <v>0</v>
      </c>
      <c r="S248" s="2059">
        <f t="shared" ref="S248:Y248" si="18">SUM(S252:S259)</f>
        <v>0</v>
      </c>
      <c r="T248" s="2059">
        <f t="shared" si="18"/>
        <v>0</v>
      </c>
      <c r="U248" s="2059">
        <f t="shared" si="18"/>
        <v>0</v>
      </c>
      <c r="V248" s="2059">
        <f t="shared" si="18"/>
        <v>0</v>
      </c>
      <c r="W248" s="2059">
        <f t="shared" si="18"/>
        <v>0</v>
      </c>
      <c r="X248" s="2059">
        <f t="shared" si="18"/>
        <v>0</v>
      </c>
      <c r="Y248" s="2059">
        <f t="shared" si="18"/>
        <v>0</v>
      </c>
      <c r="Z248" s="2066">
        <f>SUM(AA252:AA259)</f>
        <v>148712</v>
      </c>
      <c r="AA248" s="2067"/>
    </row>
    <row r="249" spans="1:27">
      <c r="A249" s="2038"/>
      <c r="B249" s="2043"/>
      <c r="C249" s="2044"/>
      <c r="D249" s="2044"/>
      <c r="E249" s="2044"/>
      <c r="F249" s="2046"/>
      <c r="G249" s="2046"/>
      <c r="H249" s="2046"/>
      <c r="I249" s="2046"/>
      <c r="J249" s="2048"/>
      <c r="K249" s="2048"/>
      <c r="L249" s="2052"/>
      <c r="M249" s="2054"/>
      <c r="N249" s="2056"/>
      <c r="O249" s="2058"/>
      <c r="P249" s="2060"/>
      <c r="Q249" s="2060"/>
      <c r="R249" s="2060"/>
      <c r="S249" s="2060"/>
      <c r="T249" s="2060"/>
      <c r="U249" s="2060"/>
      <c r="V249" s="2060"/>
      <c r="W249" s="2060"/>
      <c r="X249" s="2060"/>
      <c r="Y249" s="2060"/>
      <c r="Z249" s="2068"/>
      <c r="AA249" s="2069"/>
    </row>
    <row r="250" spans="1:27">
      <c r="A250" s="2038"/>
      <c r="B250" s="2072" t="s">
        <v>107</v>
      </c>
      <c r="C250" s="2058"/>
      <c r="D250" s="2058">
        <v>85306</v>
      </c>
      <c r="E250" s="2058"/>
      <c r="F250" s="2046" t="s">
        <v>389</v>
      </c>
      <c r="G250" s="2046"/>
      <c r="H250" s="2046"/>
      <c r="I250" s="2046"/>
      <c r="J250" s="2048"/>
      <c r="K250" s="2048"/>
      <c r="L250" s="2052"/>
      <c r="M250" s="2054"/>
      <c r="N250" s="2056"/>
      <c r="O250" s="2058"/>
      <c r="P250" s="2060"/>
      <c r="Q250" s="2060"/>
      <c r="R250" s="2060"/>
      <c r="S250" s="2060"/>
      <c r="T250" s="2060"/>
      <c r="U250" s="2060"/>
      <c r="V250" s="2060"/>
      <c r="W250" s="2060"/>
      <c r="X250" s="2060"/>
      <c r="Y250" s="2060"/>
      <c r="Z250" s="2068"/>
      <c r="AA250" s="2069"/>
    </row>
    <row r="251" spans="1:27">
      <c r="A251" s="2038"/>
      <c r="B251" s="2073"/>
      <c r="C251" s="2074"/>
      <c r="D251" s="2074"/>
      <c r="E251" s="2074"/>
      <c r="F251" s="2075"/>
      <c r="G251" s="2075"/>
      <c r="H251" s="2075"/>
      <c r="I251" s="2075"/>
      <c r="J251" s="2048"/>
      <c r="K251" s="2048"/>
      <c r="L251" s="2052"/>
      <c r="M251" s="2054"/>
      <c r="N251" s="2056"/>
      <c r="O251" s="2058"/>
      <c r="P251" s="2060"/>
      <c r="Q251" s="2060"/>
      <c r="R251" s="2060"/>
      <c r="S251" s="2060"/>
      <c r="T251" s="2060"/>
      <c r="U251" s="2060"/>
      <c r="V251" s="2060"/>
      <c r="W251" s="2060"/>
      <c r="X251" s="2060"/>
      <c r="Y251" s="2060"/>
      <c r="Z251" s="2070"/>
      <c r="AA251" s="2071"/>
    </row>
    <row r="252" spans="1:27">
      <c r="A252" s="2039"/>
      <c r="B252" s="2514" t="s">
        <v>385</v>
      </c>
      <c r="C252" s="2515"/>
      <c r="D252" s="2515"/>
      <c r="E252" s="2515"/>
      <c r="F252" s="2515"/>
      <c r="G252" s="2515"/>
      <c r="H252" s="2515"/>
      <c r="I252" s="2522"/>
      <c r="J252" s="2049"/>
      <c r="K252" s="2048"/>
      <c r="L252" s="2052"/>
      <c r="M252" s="2085" t="s">
        <v>143</v>
      </c>
      <c r="N252" s="2086">
        <f>SUM(P252:Y255)</f>
        <v>126406</v>
      </c>
      <c r="O252" s="2058" t="s">
        <v>112</v>
      </c>
      <c r="P252" s="2087">
        <v>74111</v>
      </c>
      <c r="Q252" s="2087">
        <v>52295</v>
      </c>
      <c r="R252" s="2087">
        <v>0</v>
      </c>
      <c r="S252" s="2087">
        <v>0</v>
      </c>
      <c r="T252" s="2087">
        <v>0</v>
      </c>
      <c r="U252" s="2087">
        <v>0</v>
      </c>
      <c r="V252" s="2087">
        <v>0</v>
      </c>
      <c r="W252" s="2087">
        <v>0</v>
      </c>
      <c r="X252" s="2087">
        <v>0</v>
      </c>
      <c r="Y252" s="2087">
        <v>0</v>
      </c>
      <c r="Z252" s="2092"/>
      <c r="AA252" s="2093"/>
    </row>
    <row r="253" spans="1:27">
      <c r="A253" s="2039"/>
      <c r="B253" s="2523"/>
      <c r="C253" s="2524"/>
      <c r="D253" s="2524"/>
      <c r="E253" s="2524"/>
      <c r="F253" s="2524"/>
      <c r="G253" s="2524"/>
      <c r="H253" s="2524"/>
      <c r="I253" s="2525"/>
      <c r="J253" s="2049"/>
      <c r="K253" s="2048"/>
      <c r="L253" s="2052"/>
      <c r="M253" s="2085"/>
      <c r="N253" s="2058"/>
      <c r="O253" s="2058"/>
      <c r="P253" s="2087"/>
      <c r="Q253" s="2087"/>
      <c r="R253" s="2087"/>
      <c r="S253" s="2087"/>
      <c r="T253" s="2087"/>
      <c r="U253" s="2087"/>
      <c r="V253" s="2087"/>
      <c r="W253" s="2087"/>
      <c r="X253" s="2087"/>
      <c r="Y253" s="2087"/>
      <c r="Z253" s="2061"/>
      <c r="AA253" s="2062"/>
    </row>
    <row r="254" spans="1:27">
      <c r="A254" s="2039"/>
      <c r="B254" s="2523"/>
      <c r="C254" s="2524"/>
      <c r="D254" s="2524"/>
      <c r="E254" s="2524"/>
      <c r="F254" s="2524"/>
      <c r="G254" s="2524"/>
      <c r="H254" s="2524"/>
      <c r="I254" s="2525"/>
      <c r="J254" s="2049"/>
      <c r="K254" s="2048"/>
      <c r="L254" s="2089">
        <v>33380</v>
      </c>
      <c r="M254" s="2085"/>
      <c r="N254" s="2058"/>
      <c r="O254" s="2058"/>
      <c r="P254" s="2087"/>
      <c r="Q254" s="2087"/>
      <c r="R254" s="2087"/>
      <c r="S254" s="2087"/>
      <c r="T254" s="2087"/>
      <c r="U254" s="2087"/>
      <c r="V254" s="2087"/>
      <c r="W254" s="2087"/>
      <c r="X254" s="2087"/>
      <c r="Y254" s="2087"/>
      <c r="Z254" s="2061" t="s">
        <v>154</v>
      </c>
      <c r="AA254" s="2062">
        <f>P248</f>
        <v>87188</v>
      </c>
    </row>
    <row r="255" spans="1:27">
      <c r="A255" s="2039"/>
      <c r="B255" s="2518"/>
      <c r="C255" s="2519"/>
      <c r="D255" s="2519"/>
      <c r="E255" s="2519"/>
      <c r="F255" s="2519"/>
      <c r="G255" s="2519"/>
      <c r="H255" s="2519"/>
      <c r="I255" s="2526"/>
      <c r="J255" s="2049"/>
      <c r="K255" s="2048"/>
      <c r="L255" s="2089"/>
      <c r="M255" s="2085"/>
      <c r="N255" s="2058"/>
      <c r="O255" s="2058"/>
      <c r="P255" s="2087"/>
      <c r="Q255" s="2087"/>
      <c r="R255" s="2087"/>
      <c r="S255" s="2087"/>
      <c r="T255" s="2087"/>
      <c r="U255" s="2087"/>
      <c r="V255" s="2087"/>
      <c r="W255" s="2087"/>
      <c r="X255" s="2087"/>
      <c r="Y255" s="2087"/>
      <c r="Z255" s="2061"/>
      <c r="AA255" s="2062"/>
    </row>
    <row r="256" spans="1:27">
      <c r="A256" s="2039"/>
      <c r="B256" s="2028" t="s">
        <v>386</v>
      </c>
      <c r="C256" s="2029"/>
      <c r="D256" s="2029"/>
      <c r="E256" s="2029"/>
      <c r="F256" s="2029"/>
      <c r="G256" s="2029"/>
      <c r="H256" s="2029"/>
      <c r="I256" s="2030"/>
      <c r="J256" s="2048"/>
      <c r="K256" s="2048"/>
      <c r="L256" s="2089"/>
      <c r="M256" s="2034" t="s">
        <v>123</v>
      </c>
      <c r="N256" s="2086">
        <f>SUM(P256:Y259)</f>
        <v>22306</v>
      </c>
      <c r="O256" s="2058" t="s">
        <v>112</v>
      </c>
      <c r="P256" s="2087">
        <v>13077</v>
      </c>
      <c r="Q256" s="2087">
        <v>9229</v>
      </c>
      <c r="R256" s="2087">
        <v>0</v>
      </c>
      <c r="S256" s="2087">
        <v>0</v>
      </c>
      <c r="T256" s="2087">
        <v>0</v>
      </c>
      <c r="U256" s="2087">
        <v>0</v>
      </c>
      <c r="V256" s="2087">
        <v>0</v>
      </c>
      <c r="W256" s="2087">
        <v>0</v>
      </c>
      <c r="X256" s="2087">
        <v>0</v>
      </c>
      <c r="Y256" s="2087">
        <v>0</v>
      </c>
      <c r="Z256" s="2061" t="s">
        <v>345</v>
      </c>
      <c r="AA256" s="2062">
        <f>Q248</f>
        <v>61524</v>
      </c>
    </row>
    <row r="257" spans="1:27">
      <c r="A257" s="2039"/>
      <c r="B257" s="2028"/>
      <c r="C257" s="2029"/>
      <c r="D257" s="2029"/>
      <c r="E257" s="2029"/>
      <c r="F257" s="2029"/>
      <c r="G257" s="2029"/>
      <c r="H257" s="2029"/>
      <c r="I257" s="2030"/>
      <c r="J257" s="2048"/>
      <c r="K257" s="2048"/>
      <c r="L257" s="2089"/>
      <c r="M257" s="2035"/>
      <c r="N257" s="2058"/>
      <c r="O257" s="2058"/>
      <c r="P257" s="2087"/>
      <c r="Q257" s="2087"/>
      <c r="R257" s="2087"/>
      <c r="S257" s="2087"/>
      <c r="T257" s="2087"/>
      <c r="U257" s="2087"/>
      <c r="V257" s="2087"/>
      <c r="W257" s="2087"/>
      <c r="X257" s="2087"/>
      <c r="Y257" s="2087"/>
      <c r="Z257" s="2061"/>
      <c r="AA257" s="2062"/>
    </row>
    <row r="258" spans="1:27">
      <c r="A258" s="2039"/>
      <c r="B258" s="2028"/>
      <c r="C258" s="2029"/>
      <c r="D258" s="2029"/>
      <c r="E258" s="2029"/>
      <c r="F258" s="2029"/>
      <c r="G258" s="2029"/>
      <c r="H258" s="2029"/>
      <c r="I258" s="2030"/>
      <c r="J258" s="2048"/>
      <c r="K258" s="2048"/>
      <c r="L258" s="2089"/>
      <c r="M258" s="2035"/>
      <c r="N258" s="2058"/>
      <c r="O258" s="2058"/>
      <c r="P258" s="2087"/>
      <c r="Q258" s="2087"/>
      <c r="R258" s="2087"/>
      <c r="S258" s="2087"/>
      <c r="T258" s="2087"/>
      <c r="U258" s="2087"/>
      <c r="V258" s="2087"/>
      <c r="W258" s="2087"/>
      <c r="X258" s="2087"/>
      <c r="Y258" s="2087"/>
      <c r="Z258" s="2063"/>
      <c r="AA258" s="2062"/>
    </row>
    <row r="259" spans="1:27" ht="13.5" thickBot="1">
      <c r="A259" s="2040"/>
      <c r="B259" s="2031"/>
      <c r="C259" s="2032"/>
      <c r="D259" s="2032"/>
      <c r="E259" s="2032"/>
      <c r="F259" s="2032"/>
      <c r="G259" s="2032"/>
      <c r="H259" s="2032"/>
      <c r="I259" s="2033"/>
      <c r="J259" s="2050"/>
      <c r="K259" s="2050"/>
      <c r="L259" s="2090"/>
      <c r="M259" s="2036"/>
      <c r="N259" s="2091"/>
      <c r="O259" s="2091"/>
      <c r="P259" s="2088"/>
      <c r="Q259" s="2088"/>
      <c r="R259" s="2088"/>
      <c r="S259" s="2088"/>
      <c r="T259" s="2088"/>
      <c r="U259" s="2088"/>
      <c r="V259" s="2088"/>
      <c r="W259" s="2088"/>
      <c r="X259" s="2088"/>
      <c r="Y259" s="2088"/>
      <c r="Z259" s="2064"/>
      <c r="AA259" s="2065"/>
    </row>
    <row r="260" spans="1:27" ht="14.25" thickTop="1" thickBot="1">
      <c r="A260" s="1149"/>
      <c r="B260" s="1146"/>
      <c r="C260" s="1146"/>
      <c r="D260" s="1146"/>
      <c r="E260" s="1146"/>
      <c r="F260" s="1146"/>
      <c r="G260" s="1146"/>
      <c r="H260" s="1146"/>
      <c r="I260" s="1146"/>
      <c r="J260" s="1147"/>
      <c r="K260" s="1147"/>
      <c r="L260" s="811"/>
      <c r="M260" s="825"/>
      <c r="N260" s="1147"/>
      <c r="O260" s="1147"/>
      <c r="P260" s="656"/>
      <c r="Q260" s="656"/>
      <c r="R260" s="656"/>
      <c r="S260" s="656"/>
      <c r="T260" s="656"/>
      <c r="U260" s="656"/>
      <c r="V260" s="656"/>
      <c r="W260" s="656"/>
      <c r="X260" s="656"/>
      <c r="Y260" s="656"/>
      <c r="Z260" s="812"/>
      <c r="AA260" s="642"/>
    </row>
    <row r="261" spans="1:27" ht="13.5" thickTop="1">
      <c r="A261" s="2037">
        <v>18</v>
      </c>
      <c r="B261" s="2041" t="s">
        <v>101</v>
      </c>
      <c r="C261" s="2042"/>
      <c r="D261" s="2042">
        <v>853</v>
      </c>
      <c r="E261" s="2042"/>
      <c r="F261" s="2045" t="s">
        <v>387</v>
      </c>
      <c r="G261" s="2045"/>
      <c r="H261" s="2045"/>
      <c r="I261" s="2045"/>
      <c r="J261" s="2047">
        <v>2013</v>
      </c>
      <c r="K261" s="2047">
        <v>2014</v>
      </c>
      <c r="L261" s="2051">
        <f>SUM(N261,L267)</f>
        <v>503350</v>
      </c>
      <c r="M261" s="2053" t="s">
        <v>120</v>
      </c>
      <c r="N261" s="2055">
        <f>SUM(N265:N272)</f>
        <v>503350</v>
      </c>
      <c r="O261" s="2057" t="s">
        <v>112</v>
      </c>
      <c r="P261" s="2059">
        <f t="shared" ref="P261:Y261" si="19">SUM(P265:P272)</f>
        <v>469365</v>
      </c>
      <c r="Q261" s="2059">
        <f t="shared" si="19"/>
        <v>33985</v>
      </c>
      <c r="R261" s="2059">
        <f t="shared" si="19"/>
        <v>0</v>
      </c>
      <c r="S261" s="2059">
        <f t="shared" si="19"/>
        <v>0</v>
      </c>
      <c r="T261" s="2059">
        <f t="shared" si="19"/>
        <v>0</v>
      </c>
      <c r="U261" s="2059">
        <f t="shared" si="19"/>
        <v>0</v>
      </c>
      <c r="V261" s="2059">
        <f t="shared" si="19"/>
        <v>0</v>
      </c>
      <c r="W261" s="2059">
        <f t="shared" si="19"/>
        <v>0</v>
      </c>
      <c r="X261" s="2059">
        <f t="shared" si="19"/>
        <v>0</v>
      </c>
      <c r="Y261" s="2059">
        <f t="shared" si="19"/>
        <v>0</v>
      </c>
      <c r="Z261" s="2066">
        <f>SUM(AA265:AA272)</f>
        <v>503350</v>
      </c>
      <c r="AA261" s="2067"/>
    </row>
    <row r="262" spans="1:27">
      <c r="A262" s="2038"/>
      <c r="B262" s="2043"/>
      <c r="C262" s="2044"/>
      <c r="D262" s="2044"/>
      <c r="E262" s="2044"/>
      <c r="F262" s="2046"/>
      <c r="G262" s="2046"/>
      <c r="H262" s="2046"/>
      <c r="I262" s="2046"/>
      <c r="J262" s="2048"/>
      <c r="K262" s="2048"/>
      <c r="L262" s="2052"/>
      <c r="M262" s="2054"/>
      <c r="N262" s="2056"/>
      <c r="O262" s="2058"/>
      <c r="P262" s="2060"/>
      <c r="Q262" s="2060"/>
      <c r="R262" s="2060"/>
      <c r="S262" s="2060"/>
      <c r="T262" s="2060"/>
      <c r="U262" s="2060"/>
      <c r="V262" s="2060"/>
      <c r="W262" s="2060"/>
      <c r="X262" s="2060"/>
      <c r="Y262" s="2060"/>
      <c r="Z262" s="2068"/>
      <c r="AA262" s="2069"/>
    </row>
    <row r="263" spans="1:27">
      <c r="A263" s="2038"/>
      <c r="B263" s="2072" t="s">
        <v>107</v>
      </c>
      <c r="C263" s="2058"/>
      <c r="D263" s="2058">
        <v>85395</v>
      </c>
      <c r="E263" s="2058"/>
      <c r="F263" s="2046" t="s">
        <v>130</v>
      </c>
      <c r="G263" s="2046"/>
      <c r="H263" s="2046"/>
      <c r="I263" s="2046"/>
      <c r="J263" s="2048"/>
      <c r="K263" s="2048"/>
      <c r="L263" s="2052"/>
      <c r="M263" s="2054"/>
      <c r="N263" s="2056"/>
      <c r="O263" s="2058"/>
      <c r="P263" s="2060"/>
      <c r="Q263" s="2060"/>
      <c r="R263" s="2060"/>
      <c r="S263" s="2060"/>
      <c r="T263" s="2060"/>
      <c r="U263" s="2060"/>
      <c r="V263" s="2060"/>
      <c r="W263" s="2060"/>
      <c r="X263" s="2060"/>
      <c r="Y263" s="2060"/>
      <c r="Z263" s="2068"/>
      <c r="AA263" s="2069"/>
    </row>
    <row r="264" spans="1:27">
      <c r="A264" s="2038"/>
      <c r="B264" s="2073"/>
      <c r="C264" s="2074"/>
      <c r="D264" s="2074"/>
      <c r="E264" s="2074"/>
      <c r="F264" s="2075"/>
      <c r="G264" s="2075"/>
      <c r="H264" s="2075"/>
      <c r="I264" s="2075"/>
      <c r="J264" s="2048"/>
      <c r="K264" s="2048"/>
      <c r="L264" s="2052"/>
      <c r="M264" s="2054"/>
      <c r="N264" s="2056"/>
      <c r="O264" s="2058"/>
      <c r="P264" s="2060"/>
      <c r="Q264" s="2060"/>
      <c r="R264" s="2060"/>
      <c r="S264" s="2060"/>
      <c r="T264" s="2060"/>
      <c r="U264" s="2060"/>
      <c r="V264" s="2060"/>
      <c r="W264" s="2060"/>
      <c r="X264" s="2060"/>
      <c r="Y264" s="2060"/>
      <c r="Z264" s="2070"/>
      <c r="AA264" s="2071"/>
    </row>
    <row r="265" spans="1:27">
      <c r="A265" s="2039"/>
      <c r="B265" s="2514" t="s">
        <v>438</v>
      </c>
      <c r="C265" s="2515"/>
      <c r="D265" s="2515"/>
      <c r="E265" s="2515"/>
      <c r="F265" s="2515"/>
      <c r="G265" s="2515"/>
      <c r="H265" s="2515"/>
      <c r="I265" s="2522"/>
      <c r="J265" s="2049"/>
      <c r="K265" s="2048"/>
      <c r="L265" s="2052"/>
      <c r="M265" s="2085" t="s">
        <v>143</v>
      </c>
      <c r="N265" s="2086">
        <f>SUM(P265:Y268)</f>
        <v>427847</v>
      </c>
      <c r="O265" s="2058" t="s">
        <v>112</v>
      </c>
      <c r="P265" s="2087">
        <v>398960</v>
      </c>
      <c r="Q265" s="2087">
        <v>28887</v>
      </c>
      <c r="R265" s="2087">
        <v>0</v>
      </c>
      <c r="S265" s="2087">
        <v>0</v>
      </c>
      <c r="T265" s="2087">
        <v>0</v>
      </c>
      <c r="U265" s="2087">
        <v>0</v>
      </c>
      <c r="V265" s="2087">
        <v>0</v>
      </c>
      <c r="W265" s="2087">
        <v>0</v>
      </c>
      <c r="X265" s="2087">
        <v>0</v>
      </c>
      <c r="Y265" s="2087">
        <v>0</v>
      </c>
      <c r="Z265" s="2092"/>
      <c r="AA265" s="2093"/>
    </row>
    <row r="266" spans="1:27">
      <c r="A266" s="2039"/>
      <c r="B266" s="2523"/>
      <c r="C266" s="2524"/>
      <c r="D266" s="2524"/>
      <c r="E266" s="2524"/>
      <c r="F266" s="2524"/>
      <c r="G266" s="2524"/>
      <c r="H266" s="2524"/>
      <c r="I266" s="2525"/>
      <c r="J266" s="2049"/>
      <c r="K266" s="2048"/>
      <c r="L266" s="2052"/>
      <c r="M266" s="2085"/>
      <c r="N266" s="2058"/>
      <c r="O266" s="2058"/>
      <c r="P266" s="2087"/>
      <c r="Q266" s="2087"/>
      <c r="R266" s="2087"/>
      <c r="S266" s="2087"/>
      <c r="T266" s="2087"/>
      <c r="U266" s="2087"/>
      <c r="V266" s="2087"/>
      <c r="W266" s="2087"/>
      <c r="X266" s="2087"/>
      <c r="Y266" s="2087"/>
      <c r="Z266" s="2061"/>
      <c r="AA266" s="2062"/>
    </row>
    <row r="267" spans="1:27">
      <c r="A267" s="2039"/>
      <c r="B267" s="2523"/>
      <c r="C267" s="2524"/>
      <c r="D267" s="2524"/>
      <c r="E267" s="2524"/>
      <c r="F267" s="2524"/>
      <c r="G267" s="2524"/>
      <c r="H267" s="2524"/>
      <c r="I267" s="2525"/>
      <c r="J267" s="2049"/>
      <c r="K267" s="2048"/>
      <c r="L267" s="2089">
        <v>0</v>
      </c>
      <c r="M267" s="2085"/>
      <c r="N267" s="2058"/>
      <c r="O267" s="2058"/>
      <c r="P267" s="2087"/>
      <c r="Q267" s="2087"/>
      <c r="R267" s="2087"/>
      <c r="S267" s="2087"/>
      <c r="T267" s="2087"/>
      <c r="U267" s="2087"/>
      <c r="V267" s="2087"/>
      <c r="W267" s="2087"/>
      <c r="X267" s="2087"/>
      <c r="Y267" s="2087"/>
      <c r="Z267" s="2061" t="s">
        <v>154</v>
      </c>
      <c r="AA267" s="2062">
        <f>P261</f>
        <v>469365</v>
      </c>
    </row>
    <row r="268" spans="1:27">
      <c r="A268" s="2039"/>
      <c r="B268" s="2518"/>
      <c r="C268" s="2519"/>
      <c r="D268" s="2519"/>
      <c r="E268" s="2519"/>
      <c r="F268" s="2519"/>
      <c r="G268" s="2519"/>
      <c r="H268" s="2519"/>
      <c r="I268" s="2526"/>
      <c r="J268" s="2049"/>
      <c r="K268" s="2048"/>
      <c r="L268" s="2089"/>
      <c r="M268" s="2085"/>
      <c r="N268" s="2058"/>
      <c r="O268" s="2058"/>
      <c r="P268" s="2087"/>
      <c r="Q268" s="2087"/>
      <c r="R268" s="2087"/>
      <c r="S268" s="2087"/>
      <c r="T268" s="2087"/>
      <c r="U268" s="2087"/>
      <c r="V268" s="2087"/>
      <c r="W268" s="2087"/>
      <c r="X268" s="2087"/>
      <c r="Y268" s="2087"/>
      <c r="Z268" s="2061"/>
      <c r="AA268" s="2062"/>
    </row>
    <row r="269" spans="1:27">
      <c r="A269" s="2039"/>
      <c r="B269" s="2028" t="s">
        <v>356</v>
      </c>
      <c r="C269" s="2029"/>
      <c r="D269" s="2029"/>
      <c r="E269" s="2029"/>
      <c r="F269" s="2029"/>
      <c r="G269" s="2029"/>
      <c r="H269" s="2029"/>
      <c r="I269" s="2030"/>
      <c r="J269" s="2048"/>
      <c r="K269" s="2048"/>
      <c r="L269" s="2089"/>
      <c r="M269" s="2034" t="s">
        <v>439</v>
      </c>
      <c r="N269" s="2130">
        <f>SUM(P269:Y272)</f>
        <v>75503</v>
      </c>
      <c r="O269" s="2074" t="s">
        <v>112</v>
      </c>
      <c r="P269" s="2135">
        <v>70405</v>
      </c>
      <c r="Q269" s="2135">
        <v>5098</v>
      </c>
      <c r="R269" s="2135">
        <v>0</v>
      </c>
      <c r="S269" s="2135">
        <v>0</v>
      </c>
      <c r="T269" s="2135">
        <v>0</v>
      </c>
      <c r="U269" s="2135">
        <v>0</v>
      </c>
      <c r="V269" s="2135">
        <v>0</v>
      </c>
      <c r="W269" s="2135">
        <v>0</v>
      </c>
      <c r="X269" s="2135">
        <v>0</v>
      </c>
      <c r="Y269" s="2135">
        <v>0</v>
      </c>
      <c r="Z269" s="2061" t="s">
        <v>345</v>
      </c>
      <c r="AA269" s="2062">
        <f>Q261</f>
        <v>33985</v>
      </c>
    </row>
    <row r="270" spans="1:27">
      <c r="A270" s="2039"/>
      <c r="B270" s="2028"/>
      <c r="C270" s="2029"/>
      <c r="D270" s="2029"/>
      <c r="E270" s="2029"/>
      <c r="F270" s="2029"/>
      <c r="G270" s="2029"/>
      <c r="H270" s="2029"/>
      <c r="I270" s="2030"/>
      <c r="J270" s="2048"/>
      <c r="K270" s="2048"/>
      <c r="L270" s="2089"/>
      <c r="M270" s="2035"/>
      <c r="N270" s="2131"/>
      <c r="O270" s="2048"/>
      <c r="P270" s="2136"/>
      <c r="Q270" s="2136"/>
      <c r="R270" s="2136"/>
      <c r="S270" s="2136"/>
      <c r="T270" s="2136"/>
      <c r="U270" s="2136"/>
      <c r="V270" s="2136"/>
      <c r="W270" s="2136"/>
      <c r="X270" s="2136"/>
      <c r="Y270" s="2136"/>
      <c r="Z270" s="2061"/>
      <c r="AA270" s="2062"/>
    </row>
    <row r="271" spans="1:27">
      <c r="A271" s="2039"/>
      <c r="B271" s="2028"/>
      <c r="C271" s="2029"/>
      <c r="D271" s="2029"/>
      <c r="E271" s="2029"/>
      <c r="F271" s="2029"/>
      <c r="G271" s="2029"/>
      <c r="H271" s="2029"/>
      <c r="I271" s="2030"/>
      <c r="J271" s="2048"/>
      <c r="K271" s="2048"/>
      <c r="L271" s="2089"/>
      <c r="M271" s="2035"/>
      <c r="N271" s="2131"/>
      <c r="O271" s="2048"/>
      <c r="P271" s="2136"/>
      <c r="Q271" s="2136"/>
      <c r="R271" s="2136"/>
      <c r="S271" s="2136"/>
      <c r="T271" s="2136"/>
      <c r="U271" s="2136"/>
      <c r="V271" s="2136"/>
      <c r="W271" s="2136"/>
      <c r="X271" s="2136"/>
      <c r="Y271" s="2136"/>
      <c r="Z271" s="2063"/>
      <c r="AA271" s="2062"/>
    </row>
    <row r="272" spans="1:27" ht="13.5" thickBot="1">
      <c r="A272" s="2040"/>
      <c r="B272" s="2031"/>
      <c r="C272" s="2032"/>
      <c r="D272" s="2032"/>
      <c r="E272" s="2032"/>
      <c r="F272" s="2032"/>
      <c r="G272" s="2032"/>
      <c r="H272" s="2032"/>
      <c r="I272" s="2033"/>
      <c r="J272" s="2050"/>
      <c r="K272" s="2050"/>
      <c r="L272" s="2090"/>
      <c r="M272" s="2036"/>
      <c r="N272" s="2138"/>
      <c r="O272" s="2050"/>
      <c r="P272" s="2137"/>
      <c r="Q272" s="2137"/>
      <c r="R272" s="2137"/>
      <c r="S272" s="2137"/>
      <c r="T272" s="2137"/>
      <c r="U272" s="2137"/>
      <c r="V272" s="2137"/>
      <c r="W272" s="2137"/>
      <c r="X272" s="2137"/>
      <c r="Y272" s="2137"/>
      <c r="Z272" s="2064"/>
      <c r="AA272" s="2065"/>
    </row>
    <row r="273" spans="1:27" ht="14.25" thickTop="1" thickBot="1">
      <c r="A273" s="1149"/>
      <c r="B273" s="1146"/>
      <c r="C273" s="1146"/>
      <c r="D273" s="1146"/>
      <c r="E273" s="1146"/>
      <c r="F273" s="1146"/>
      <c r="G273" s="1146"/>
      <c r="H273" s="1146"/>
      <c r="I273" s="1146"/>
      <c r="J273" s="1147"/>
      <c r="K273" s="1147"/>
      <c r="L273" s="811"/>
      <c r="M273" s="825"/>
      <c r="N273" s="1147"/>
      <c r="O273" s="1147"/>
      <c r="P273" s="656"/>
      <c r="Q273" s="656"/>
      <c r="R273" s="656"/>
      <c r="S273" s="656"/>
      <c r="T273" s="656"/>
      <c r="U273" s="656"/>
      <c r="V273" s="656"/>
      <c r="W273" s="656"/>
      <c r="X273" s="656"/>
      <c r="Y273" s="656"/>
      <c r="Z273" s="812"/>
      <c r="AA273" s="642"/>
    </row>
    <row r="274" spans="1:27" ht="13.5" thickTop="1">
      <c r="A274" s="2037">
        <v>19</v>
      </c>
      <c r="B274" s="2041" t="s">
        <v>101</v>
      </c>
      <c r="C274" s="2042"/>
      <c r="D274" s="2042">
        <v>853</v>
      </c>
      <c r="E274" s="2042"/>
      <c r="F274" s="2045" t="s">
        <v>387</v>
      </c>
      <c r="G274" s="2045"/>
      <c r="H274" s="2045"/>
      <c r="I274" s="2045"/>
      <c r="J274" s="2047">
        <v>2013</v>
      </c>
      <c r="K274" s="2047">
        <v>2014</v>
      </c>
      <c r="L274" s="2051">
        <f>SUM(N274,L280)</f>
        <v>1261058</v>
      </c>
      <c r="M274" s="2053" t="s">
        <v>120</v>
      </c>
      <c r="N274" s="2055">
        <f>SUM(N278:N285)</f>
        <v>1261058</v>
      </c>
      <c r="O274" s="2057" t="s">
        <v>112</v>
      </c>
      <c r="P274" s="2059">
        <f>SUM(P278:P285)</f>
        <v>967538</v>
      </c>
      <c r="Q274" s="2059">
        <f>SUM(Q278:Q285)</f>
        <v>293520</v>
      </c>
      <c r="R274" s="2059">
        <f>SUM(R278:R285)</f>
        <v>0</v>
      </c>
      <c r="S274" s="2059">
        <f t="shared" ref="S274:Y274" si="20">SUM(S278:S285)</f>
        <v>0</v>
      </c>
      <c r="T274" s="2059">
        <f t="shared" si="20"/>
        <v>0</v>
      </c>
      <c r="U274" s="2059">
        <f t="shared" si="20"/>
        <v>0</v>
      </c>
      <c r="V274" s="2059">
        <f t="shared" si="20"/>
        <v>0</v>
      </c>
      <c r="W274" s="2059">
        <f t="shared" si="20"/>
        <v>0</v>
      </c>
      <c r="X274" s="2059">
        <f t="shared" si="20"/>
        <v>0</v>
      </c>
      <c r="Y274" s="2059">
        <f t="shared" si="20"/>
        <v>0</v>
      </c>
      <c r="Z274" s="2066">
        <f>SUM(AA278:AA285)</f>
        <v>1261058</v>
      </c>
      <c r="AA274" s="2067"/>
    </row>
    <row r="275" spans="1:27">
      <c r="A275" s="2038"/>
      <c r="B275" s="2043"/>
      <c r="C275" s="2044"/>
      <c r="D275" s="2044"/>
      <c r="E275" s="2044"/>
      <c r="F275" s="2046"/>
      <c r="G275" s="2046"/>
      <c r="H275" s="2046"/>
      <c r="I275" s="2046"/>
      <c r="J275" s="2048"/>
      <c r="K275" s="2048"/>
      <c r="L275" s="2052"/>
      <c r="M275" s="2054"/>
      <c r="N275" s="2056"/>
      <c r="O275" s="2058"/>
      <c r="P275" s="2060"/>
      <c r="Q275" s="2060"/>
      <c r="R275" s="2060"/>
      <c r="S275" s="2060"/>
      <c r="T275" s="2060"/>
      <c r="U275" s="2060"/>
      <c r="V275" s="2060"/>
      <c r="W275" s="2060"/>
      <c r="X275" s="2060"/>
      <c r="Y275" s="2060"/>
      <c r="Z275" s="2068"/>
      <c r="AA275" s="2069"/>
    </row>
    <row r="276" spans="1:27">
      <c r="A276" s="2038"/>
      <c r="B276" s="2072" t="s">
        <v>107</v>
      </c>
      <c r="C276" s="2058"/>
      <c r="D276" s="2058">
        <v>85395</v>
      </c>
      <c r="E276" s="2058"/>
      <c r="F276" s="2046" t="s">
        <v>130</v>
      </c>
      <c r="G276" s="2046"/>
      <c r="H276" s="2046"/>
      <c r="I276" s="2046"/>
      <c r="J276" s="2048"/>
      <c r="K276" s="2048"/>
      <c r="L276" s="2052"/>
      <c r="M276" s="2054"/>
      <c r="N276" s="2056"/>
      <c r="O276" s="2058"/>
      <c r="P276" s="2060"/>
      <c r="Q276" s="2060"/>
      <c r="R276" s="2060"/>
      <c r="S276" s="2060"/>
      <c r="T276" s="2060"/>
      <c r="U276" s="2060"/>
      <c r="V276" s="2060"/>
      <c r="W276" s="2060"/>
      <c r="X276" s="2060"/>
      <c r="Y276" s="2060"/>
      <c r="Z276" s="2068"/>
      <c r="AA276" s="2069"/>
    </row>
    <row r="277" spans="1:27">
      <c r="A277" s="2038"/>
      <c r="B277" s="2073"/>
      <c r="C277" s="2074"/>
      <c r="D277" s="2074"/>
      <c r="E277" s="2074"/>
      <c r="F277" s="2075"/>
      <c r="G277" s="2075"/>
      <c r="H277" s="2075"/>
      <c r="I277" s="2075"/>
      <c r="J277" s="2048"/>
      <c r="K277" s="2048"/>
      <c r="L277" s="2052"/>
      <c r="M277" s="2054"/>
      <c r="N277" s="2056"/>
      <c r="O277" s="2058"/>
      <c r="P277" s="2060"/>
      <c r="Q277" s="2060"/>
      <c r="R277" s="2060"/>
      <c r="S277" s="2060"/>
      <c r="T277" s="2060"/>
      <c r="U277" s="2060"/>
      <c r="V277" s="2060"/>
      <c r="W277" s="2060"/>
      <c r="X277" s="2060"/>
      <c r="Y277" s="2060"/>
      <c r="Z277" s="2070"/>
      <c r="AA277" s="2071"/>
    </row>
    <row r="278" spans="1:27">
      <c r="A278" s="2039"/>
      <c r="B278" s="2514" t="s">
        <v>437</v>
      </c>
      <c r="C278" s="2515"/>
      <c r="D278" s="2515"/>
      <c r="E278" s="2515"/>
      <c r="F278" s="2515"/>
      <c r="G278" s="2515"/>
      <c r="H278" s="2515"/>
      <c r="I278" s="2522"/>
      <c r="J278" s="2049"/>
      <c r="K278" s="2048"/>
      <c r="L278" s="2052"/>
      <c r="M278" s="2085" t="s">
        <v>143</v>
      </c>
      <c r="N278" s="2086">
        <f>SUM(P278:Y281)</f>
        <v>1071899</v>
      </c>
      <c r="O278" s="2058" t="s">
        <v>112</v>
      </c>
      <c r="P278" s="2087">
        <v>822407</v>
      </c>
      <c r="Q278" s="2087">
        <v>249492</v>
      </c>
      <c r="R278" s="2087">
        <v>0</v>
      </c>
      <c r="S278" s="2087">
        <v>0</v>
      </c>
      <c r="T278" s="2087">
        <v>0</v>
      </c>
      <c r="U278" s="2087">
        <v>0</v>
      </c>
      <c r="V278" s="2087">
        <v>0</v>
      </c>
      <c r="W278" s="2087">
        <v>0</v>
      </c>
      <c r="X278" s="2087">
        <v>0</v>
      </c>
      <c r="Y278" s="2087">
        <v>0</v>
      </c>
      <c r="Z278" s="2092"/>
      <c r="AA278" s="2093"/>
    </row>
    <row r="279" spans="1:27">
      <c r="A279" s="2039"/>
      <c r="B279" s="2523"/>
      <c r="C279" s="2524"/>
      <c r="D279" s="2524"/>
      <c r="E279" s="2524"/>
      <c r="F279" s="2524"/>
      <c r="G279" s="2524"/>
      <c r="H279" s="2524"/>
      <c r="I279" s="2525"/>
      <c r="J279" s="2049"/>
      <c r="K279" s="2048"/>
      <c r="L279" s="2052"/>
      <c r="M279" s="2085"/>
      <c r="N279" s="2058"/>
      <c r="O279" s="2058"/>
      <c r="P279" s="2087"/>
      <c r="Q279" s="2087"/>
      <c r="R279" s="2087"/>
      <c r="S279" s="2087"/>
      <c r="T279" s="2087"/>
      <c r="U279" s="2087"/>
      <c r="V279" s="2087"/>
      <c r="W279" s="2087"/>
      <c r="X279" s="2087"/>
      <c r="Y279" s="2087"/>
      <c r="Z279" s="2061"/>
      <c r="AA279" s="2062"/>
    </row>
    <row r="280" spans="1:27">
      <c r="A280" s="2039"/>
      <c r="B280" s="2523"/>
      <c r="C280" s="2524"/>
      <c r="D280" s="2524"/>
      <c r="E280" s="2524"/>
      <c r="F280" s="2524"/>
      <c r="G280" s="2524"/>
      <c r="H280" s="2524"/>
      <c r="I280" s="2525"/>
      <c r="J280" s="2049"/>
      <c r="K280" s="2048"/>
      <c r="L280" s="2089">
        <v>0</v>
      </c>
      <c r="M280" s="2085"/>
      <c r="N280" s="2058"/>
      <c r="O280" s="2058"/>
      <c r="P280" s="2087"/>
      <c r="Q280" s="2087"/>
      <c r="R280" s="2087"/>
      <c r="S280" s="2087"/>
      <c r="T280" s="2087"/>
      <c r="U280" s="2087"/>
      <c r="V280" s="2087"/>
      <c r="W280" s="2087"/>
      <c r="X280" s="2087"/>
      <c r="Y280" s="2087"/>
      <c r="Z280" s="2061" t="s">
        <v>154</v>
      </c>
      <c r="AA280" s="2062">
        <f>P274</f>
        <v>967538</v>
      </c>
    </row>
    <row r="281" spans="1:27">
      <c r="A281" s="2039"/>
      <c r="B281" s="2518"/>
      <c r="C281" s="2519"/>
      <c r="D281" s="2519"/>
      <c r="E281" s="2519"/>
      <c r="F281" s="2519"/>
      <c r="G281" s="2519"/>
      <c r="H281" s="2519"/>
      <c r="I281" s="2526"/>
      <c r="J281" s="2049"/>
      <c r="K281" s="2048"/>
      <c r="L281" s="2089"/>
      <c r="M281" s="2085"/>
      <c r="N281" s="2058"/>
      <c r="O281" s="2058"/>
      <c r="P281" s="2087"/>
      <c r="Q281" s="2087"/>
      <c r="R281" s="2087"/>
      <c r="S281" s="2087"/>
      <c r="T281" s="2087"/>
      <c r="U281" s="2087"/>
      <c r="V281" s="2087"/>
      <c r="W281" s="2087"/>
      <c r="X281" s="2087"/>
      <c r="Y281" s="2087"/>
      <c r="Z281" s="2061"/>
      <c r="AA281" s="2062"/>
    </row>
    <row r="282" spans="1:27">
      <c r="A282" s="2039"/>
      <c r="B282" s="2028" t="s">
        <v>356</v>
      </c>
      <c r="C282" s="2029"/>
      <c r="D282" s="2029"/>
      <c r="E282" s="2029"/>
      <c r="F282" s="2029"/>
      <c r="G282" s="2029"/>
      <c r="H282" s="2029"/>
      <c r="I282" s="2030"/>
      <c r="J282" s="2048"/>
      <c r="K282" s="2048"/>
      <c r="L282" s="2089"/>
      <c r="M282" s="2034" t="s">
        <v>439</v>
      </c>
      <c r="N282" s="2086">
        <f>SUM(P282:Y285)</f>
        <v>189159</v>
      </c>
      <c r="O282" s="2058" t="s">
        <v>112</v>
      </c>
      <c r="P282" s="2087">
        <v>145131</v>
      </c>
      <c r="Q282" s="2087">
        <v>44028</v>
      </c>
      <c r="R282" s="2087">
        <v>0</v>
      </c>
      <c r="S282" s="2087">
        <v>0</v>
      </c>
      <c r="T282" s="2087">
        <v>0</v>
      </c>
      <c r="U282" s="2087">
        <v>0</v>
      </c>
      <c r="V282" s="2087">
        <v>0</v>
      </c>
      <c r="W282" s="2087">
        <v>0</v>
      </c>
      <c r="X282" s="2087">
        <v>0</v>
      </c>
      <c r="Y282" s="2087">
        <v>0</v>
      </c>
      <c r="Z282" s="2061" t="s">
        <v>345</v>
      </c>
      <c r="AA282" s="2062">
        <f>Q274</f>
        <v>293520</v>
      </c>
    </row>
    <row r="283" spans="1:27">
      <c r="A283" s="2039"/>
      <c r="B283" s="2028"/>
      <c r="C283" s="2029"/>
      <c r="D283" s="2029"/>
      <c r="E283" s="2029"/>
      <c r="F283" s="2029"/>
      <c r="G283" s="2029"/>
      <c r="H283" s="2029"/>
      <c r="I283" s="2030"/>
      <c r="J283" s="2048"/>
      <c r="K283" s="2048"/>
      <c r="L283" s="2089"/>
      <c r="M283" s="2035"/>
      <c r="N283" s="2058"/>
      <c r="O283" s="2058"/>
      <c r="P283" s="2087"/>
      <c r="Q283" s="2087"/>
      <c r="R283" s="2087"/>
      <c r="S283" s="2087"/>
      <c r="T283" s="2087"/>
      <c r="U283" s="2087"/>
      <c r="V283" s="2087"/>
      <c r="W283" s="2087"/>
      <c r="X283" s="2087"/>
      <c r="Y283" s="2087"/>
      <c r="Z283" s="2061"/>
      <c r="AA283" s="2062"/>
    </row>
    <row r="284" spans="1:27">
      <c r="A284" s="2039"/>
      <c r="B284" s="2028"/>
      <c r="C284" s="2029"/>
      <c r="D284" s="2029"/>
      <c r="E284" s="2029"/>
      <c r="F284" s="2029"/>
      <c r="G284" s="2029"/>
      <c r="H284" s="2029"/>
      <c r="I284" s="2030"/>
      <c r="J284" s="2048"/>
      <c r="K284" s="2048"/>
      <c r="L284" s="2089"/>
      <c r="M284" s="2035"/>
      <c r="N284" s="2058"/>
      <c r="O284" s="2058"/>
      <c r="P284" s="2087"/>
      <c r="Q284" s="2087"/>
      <c r="R284" s="2087"/>
      <c r="S284" s="2087"/>
      <c r="T284" s="2087"/>
      <c r="U284" s="2087"/>
      <c r="V284" s="2087"/>
      <c r="W284" s="2087"/>
      <c r="X284" s="2087"/>
      <c r="Y284" s="2087"/>
      <c r="Z284" s="2063"/>
      <c r="AA284" s="2062"/>
    </row>
    <row r="285" spans="1:27" ht="13.5" thickBot="1">
      <c r="A285" s="2040"/>
      <c r="B285" s="2031"/>
      <c r="C285" s="2032"/>
      <c r="D285" s="2032"/>
      <c r="E285" s="2032"/>
      <c r="F285" s="2032"/>
      <c r="G285" s="2032"/>
      <c r="H285" s="2032"/>
      <c r="I285" s="2033"/>
      <c r="J285" s="2050"/>
      <c r="K285" s="2050"/>
      <c r="L285" s="2090"/>
      <c r="M285" s="2036"/>
      <c r="N285" s="2091"/>
      <c r="O285" s="2091"/>
      <c r="P285" s="2088"/>
      <c r="Q285" s="2088"/>
      <c r="R285" s="2088"/>
      <c r="S285" s="2088"/>
      <c r="T285" s="2088"/>
      <c r="U285" s="2088"/>
      <c r="V285" s="2088"/>
      <c r="W285" s="2088"/>
      <c r="X285" s="2088"/>
      <c r="Y285" s="2088"/>
      <c r="Z285" s="2064"/>
      <c r="AA285" s="2065"/>
    </row>
    <row r="286" spans="1:27" ht="14.25" thickTop="1" thickBot="1">
      <c r="A286" s="1149"/>
      <c r="B286" s="1146"/>
      <c r="C286" s="1146"/>
      <c r="D286" s="1146"/>
      <c r="E286" s="1146"/>
      <c r="F286" s="1146"/>
      <c r="G286" s="1146"/>
      <c r="H286" s="1146"/>
      <c r="I286" s="1146"/>
      <c r="J286" s="1147"/>
      <c r="K286" s="1147"/>
      <c r="L286" s="811"/>
      <c r="M286" s="825"/>
      <c r="N286" s="1147"/>
      <c r="O286" s="1147"/>
      <c r="P286" s="656"/>
      <c r="Q286" s="656"/>
      <c r="R286" s="656"/>
      <c r="S286" s="656"/>
      <c r="T286" s="656"/>
      <c r="U286" s="656"/>
      <c r="V286" s="656"/>
      <c r="W286" s="656"/>
      <c r="X286" s="656"/>
      <c r="Y286" s="656"/>
      <c r="Z286" s="812"/>
      <c r="AA286" s="642"/>
    </row>
    <row r="287" spans="1:27" ht="13.5" thickTop="1">
      <c r="A287" s="2037">
        <v>20</v>
      </c>
      <c r="B287" s="2094" t="s">
        <v>101</v>
      </c>
      <c r="C287" s="2095"/>
      <c r="D287" s="2096">
        <v>853</v>
      </c>
      <c r="E287" s="2097"/>
      <c r="F287" s="2098" t="s">
        <v>387</v>
      </c>
      <c r="G287" s="2099"/>
      <c r="H287" s="2099"/>
      <c r="I287" s="2100"/>
      <c r="J287" s="2047">
        <v>2013</v>
      </c>
      <c r="K287" s="2047">
        <v>2014</v>
      </c>
      <c r="L287" s="2051">
        <f>SUM(N287,L292)</f>
        <v>120650</v>
      </c>
      <c r="M287" s="2053" t="s">
        <v>120</v>
      </c>
      <c r="N287" s="2055">
        <f>SUM(N291:N294)</f>
        <v>120650</v>
      </c>
      <c r="O287" s="2057" t="s">
        <v>112</v>
      </c>
      <c r="P287" s="2059">
        <f t="shared" ref="P287:Y287" si="21">SUM(P291:P294)</f>
        <v>57844</v>
      </c>
      <c r="Q287" s="2059">
        <f t="shared" si="21"/>
        <v>62806</v>
      </c>
      <c r="R287" s="2059">
        <f t="shared" si="21"/>
        <v>0</v>
      </c>
      <c r="S287" s="2059">
        <f t="shared" si="21"/>
        <v>0</v>
      </c>
      <c r="T287" s="2059">
        <f t="shared" si="21"/>
        <v>0</v>
      </c>
      <c r="U287" s="2059">
        <f t="shared" si="21"/>
        <v>0</v>
      </c>
      <c r="V287" s="2059">
        <f t="shared" si="21"/>
        <v>0</v>
      </c>
      <c r="W287" s="2059">
        <f t="shared" si="21"/>
        <v>0</v>
      </c>
      <c r="X287" s="2059">
        <f t="shared" si="21"/>
        <v>0</v>
      </c>
      <c r="Y287" s="2059">
        <f t="shared" si="21"/>
        <v>0</v>
      </c>
      <c r="Z287" s="2066">
        <f>SUM(AA291:AA294)</f>
        <v>120650</v>
      </c>
      <c r="AA287" s="2067"/>
    </row>
    <row r="288" spans="1:27">
      <c r="A288" s="2038"/>
      <c r="B288" s="2101" t="s">
        <v>433</v>
      </c>
      <c r="C288" s="2102"/>
      <c r="D288" s="2103">
        <v>85395</v>
      </c>
      <c r="E288" s="2104"/>
      <c r="F288" s="2105" t="s">
        <v>130</v>
      </c>
      <c r="G288" s="2106"/>
      <c r="H288" s="2106"/>
      <c r="I288" s="2107"/>
      <c r="J288" s="2048"/>
      <c r="K288" s="2048"/>
      <c r="L288" s="2126"/>
      <c r="M288" s="2054"/>
      <c r="N288" s="2056"/>
      <c r="O288" s="2058"/>
      <c r="P288" s="2060"/>
      <c r="Q288" s="2060"/>
      <c r="R288" s="2060"/>
      <c r="S288" s="2060"/>
      <c r="T288" s="2060"/>
      <c r="U288" s="2060"/>
      <c r="V288" s="2060"/>
      <c r="W288" s="2060"/>
      <c r="X288" s="2060"/>
      <c r="Y288" s="2060"/>
      <c r="Z288" s="2068"/>
      <c r="AA288" s="2069"/>
    </row>
    <row r="289" spans="1:27">
      <c r="A289" s="2038"/>
      <c r="B289" s="2514" t="s">
        <v>440</v>
      </c>
      <c r="C289" s="2515"/>
      <c r="D289" s="2516"/>
      <c r="E289" s="2516"/>
      <c r="F289" s="2516"/>
      <c r="G289" s="2516"/>
      <c r="H289" s="2516"/>
      <c r="I289" s="2517"/>
      <c r="J289" s="2048"/>
      <c r="K289" s="2048"/>
      <c r="L289" s="2126"/>
      <c r="M289" s="2054"/>
      <c r="N289" s="2056"/>
      <c r="O289" s="2058"/>
      <c r="P289" s="2060"/>
      <c r="Q289" s="2060"/>
      <c r="R289" s="2060"/>
      <c r="S289" s="2060"/>
      <c r="T289" s="2060"/>
      <c r="U289" s="2060"/>
      <c r="V289" s="2060"/>
      <c r="W289" s="2060"/>
      <c r="X289" s="2060"/>
      <c r="Y289" s="2060"/>
      <c r="Z289" s="2068"/>
      <c r="AA289" s="2069"/>
    </row>
    <row r="290" spans="1:27">
      <c r="A290" s="2038"/>
      <c r="B290" s="2518"/>
      <c r="C290" s="2519"/>
      <c r="D290" s="2520"/>
      <c r="E290" s="2520"/>
      <c r="F290" s="2520"/>
      <c r="G290" s="2520"/>
      <c r="H290" s="2520"/>
      <c r="I290" s="2521"/>
      <c r="J290" s="2048"/>
      <c r="K290" s="2048"/>
      <c r="L290" s="2126"/>
      <c r="M290" s="2054"/>
      <c r="N290" s="2056"/>
      <c r="O290" s="2058"/>
      <c r="P290" s="2060"/>
      <c r="Q290" s="2060"/>
      <c r="R290" s="2060"/>
      <c r="S290" s="2060"/>
      <c r="T290" s="2060"/>
      <c r="U290" s="2060"/>
      <c r="V290" s="2060"/>
      <c r="W290" s="2060"/>
      <c r="X290" s="2060"/>
      <c r="Y290" s="2060"/>
      <c r="Z290" s="2070"/>
      <c r="AA290" s="2071"/>
    </row>
    <row r="291" spans="1:27">
      <c r="A291" s="2039"/>
      <c r="B291" s="2028" t="s">
        <v>356</v>
      </c>
      <c r="C291" s="2029"/>
      <c r="D291" s="2029"/>
      <c r="E291" s="2029"/>
      <c r="F291" s="2029"/>
      <c r="G291" s="2029"/>
      <c r="H291" s="2029"/>
      <c r="I291" s="2030"/>
      <c r="J291" s="2049"/>
      <c r="K291" s="2048"/>
      <c r="L291" s="2126"/>
      <c r="M291" s="2085" t="s">
        <v>441</v>
      </c>
      <c r="N291" s="2086">
        <f>SUM(P291:Y294)</f>
        <v>120650</v>
      </c>
      <c r="O291" s="2058" t="s">
        <v>112</v>
      </c>
      <c r="P291" s="2087">
        <v>57844</v>
      </c>
      <c r="Q291" s="2087">
        <v>62806</v>
      </c>
      <c r="R291" s="2087">
        <v>0</v>
      </c>
      <c r="S291" s="2087">
        <v>0</v>
      </c>
      <c r="T291" s="2087">
        <v>0</v>
      </c>
      <c r="U291" s="2087">
        <v>0</v>
      </c>
      <c r="V291" s="2087">
        <v>0</v>
      </c>
      <c r="W291" s="2087">
        <v>0</v>
      </c>
      <c r="X291" s="2087">
        <v>0</v>
      </c>
      <c r="Y291" s="2087">
        <v>0</v>
      </c>
      <c r="Z291" s="2061" t="s">
        <v>154</v>
      </c>
      <c r="AA291" s="2062">
        <f>P287</f>
        <v>57844</v>
      </c>
    </row>
    <row r="292" spans="1:27">
      <c r="A292" s="2039"/>
      <c r="B292" s="2028"/>
      <c r="C292" s="2029"/>
      <c r="D292" s="2029"/>
      <c r="E292" s="2029"/>
      <c r="F292" s="2029"/>
      <c r="G292" s="2029"/>
      <c r="H292" s="2029"/>
      <c r="I292" s="2030"/>
      <c r="J292" s="2049"/>
      <c r="K292" s="2048"/>
      <c r="L292" s="2125">
        <v>0</v>
      </c>
      <c r="M292" s="2085"/>
      <c r="N292" s="2058"/>
      <c r="O292" s="2058"/>
      <c r="P292" s="2087"/>
      <c r="Q292" s="2087"/>
      <c r="R292" s="2087"/>
      <c r="S292" s="2087"/>
      <c r="T292" s="2087"/>
      <c r="U292" s="2087"/>
      <c r="V292" s="2087"/>
      <c r="W292" s="2087"/>
      <c r="X292" s="2087"/>
      <c r="Y292" s="2087"/>
      <c r="Z292" s="2061"/>
      <c r="AA292" s="2062"/>
    </row>
    <row r="293" spans="1:27">
      <c r="A293" s="2039"/>
      <c r="B293" s="2028"/>
      <c r="C293" s="2029"/>
      <c r="D293" s="2029"/>
      <c r="E293" s="2029"/>
      <c r="F293" s="2029"/>
      <c r="G293" s="2029"/>
      <c r="H293" s="2029"/>
      <c r="I293" s="2030"/>
      <c r="J293" s="2049"/>
      <c r="K293" s="2048"/>
      <c r="L293" s="2126"/>
      <c r="M293" s="2085"/>
      <c r="N293" s="2058"/>
      <c r="O293" s="2058"/>
      <c r="P293" s="2087"/>
      <c r="Q293" s="2087"/>
      <c r="R293" s="2087"/>
      <c r="S293" s="2087"/>
      <c r="T293" s="2087"/>
      <c r="U293" s="2087"/>
      <c r="V293" s="2087"/>
      <c r="W293" s="2087"/>
      <c r="X293" s="2087"/>
      <c r="Y293" s="2087"/>
      <c r="Z293" s="2061" t="s">
        <v>345</v>
      </c>
      <c r="AA293" s="2062">
        <f>Q287</f>
        <v>62806</v>
      </c>
    </row>
    <row r="294" spans="1:27" ht="13.5" thickBot="1">
      <c r="A294" s="2040"/>
      <c r="B294" s="2031"/>
      <c r="C294" s="2032"/>
      <c r="D294" s="2032"/>
      <c r="E294" s="2032"/>
      <c r="F294" s="2032"/>
      <c r="G294" s="2032"/>
      <c r="H294" s="2032"/>
      <c r="I294" s="2033"/>
      <c r="J294" s="2128"/>
      <c r="K294" s="2050"/>
      <c r="L294" s="2127"/>
      <c r="M294" s="2129"/>
      <c r="N294" s="2091"/>
      <c r="O294" s="2091"/>
      <c r="P294" s="2088"/>
      <c r="Q294" s="2088"/>
      <c r="R294" s="2088"/>
      <c r="S294" s="2088"/>
      <c r="T294" s="2088"/>
      <c r="U294" s="2088"/>
      <c r="V294" s="2088"/>
      <c r="W294" s="2088"/>
      <c r="X294" s="2088"/>
      <c r="Y294" s="2088"/>
      <c r="Z294" s="2061"/>
      <c r="AA294" s="2062"/>
    </row>
    <row r="295" spans="1:27" ht="14.25" thickTop="1" thickBot="1">
      <c r="A295" s="1149"/>
      <c r="B295" s="636"/>
      <c r="C295" s="636"/>
      <c r="D295" s="636"/>
      <c r="E295" s="636"/>
      <c r="F295" s="636"/>
      <c r="G295" s="636"/>
      <c r="H295" s="636"/>
      <c r="I295" s="636"/>
      <c r="J295" s="1149"/>
      <c r="K295" s="1149"/>
      <c r="L295" s="661"/>
      <c r="M295" s="822"/>
      <c r="N295" s="640"/>
      <c r="O295" s="1149"/>
      <c r="P295" s="655"/>
      <c r="Q295" s="657"/>
      <c r="R295" s="655"/>
      <c r="S295" s="655"/>
      <c r="T295" s="655"/>
      <c r="U295" s="655"/>
      <c r="V295" s="655"/>
      <c r="W295" s="655"/>
      <c r="X295" s="655"/>
      <c r="Y295" s="655"/>
      <c r="Z295" s="634"/>
      <c r="AA295" s="633"/>
    </row>
    <row r="296" spans="1:27" ht="13.5" thickTop="1">
      <c r="A296" s="2151" t="s">
        <v>135</v>
      </c>
      <c r="B296" s="2152"/>
      <c r="C296" s="2152"/>
      <c r="D296" s="2152"/>
      <c r="E296" s="2152"/>
      <c r="F296" s="2152"/>
      <c r="G296" s="2152"/>
      <c r="H296" s="2152"/>
      <c r="I296" s="2152"/>
      <c r="J296" s="2152"/>
      <c r="K296" s="2153"/>
      <c r="L296" s="2160">
        <f>L248+L235+L222+L213+L204+L191+L178+L165+L152+L139+L126+L113+L100+L87+L74+L61+L44+L31+L18+L261+L274+L287</f>
        <v>45406608.350000001</v>
      </c>
      <c r="M296" s="2163" t="s">
        <v>120</v>
      </c>
      <c r="N296" s="2165">
        <f>SUM(N300:N307)</f>
        <v>35626887.600000001</v>
      </c>
      <c r="O296" s="2168" t="s">
        <v>112</v>
      </c>
      <c r="P296" s="2133">
        <f>IF(SUM(P300:P307)=(P113+P100+P87+P74+P61+P44+P31+P18+P222+P178+P165+P152+P139+P126+P248+P235++P213+P204+P191+P261+P274+P287),SUM(P300:P307),"błąd")</f>
        <v>16012151.860000001</v>
      </c>
      <c r="Q296" s="2133">
        <f>IF(SUM(Q300:Q307)=(Q113+Q100+Q87+Q74+Q61+Q44+Q31+Q18+Q222+Q178+Q165+Q152+Q139+Q126+Q248+Q235++Q213+Q204+Q191+Q261+Q274+Q287),SUM(Q300:Q307),"błąd")</f>
        <v>9094495.0199999996</v>
      </c>
      <c r="R296" s="2133">
        <f t="shared" ref="R296:Y296" si="22">IF(SUM(R300:R307)=(R113+R100+R87+R74+R61+R44+R31+R18+R222+R178+R165+R152+R139+R126+R248+R235++R213+R204+R191+R261+R274+R287),SUM(R300:R307),"błąd")</f>
        <v>2516563.5499999998</v>
      </c>
      <c r="S296" s="2133">
        <f t="shared" si="22"/>
        <v>2159095.14</v>
      </c>
      <c r="T296" s="2133">
        <f t="shared" si="22"/>
        <v>1769903.5899999999</v>
      </c>
      <c r="U296" s="2133">
        <f t="shared" si="22"/>
        <v>944428.13</v>
      </c>
      <c r="V296" s="2133">
        <f t="shared" si="22"/>
        <v>898204.96</v>
      </c>
      <c r="W296" s="2133">
        <f t="shared" si="22"/>
        <v>852319.45</v>
      </c>
      <c r="X296" s="2133">
        <f t="shared" si="22"/>
        <v>805758.55</v>
      </c>
      <c r="Y296" s="2133">
        <f t="shared" si="22"/>
        <v>573967.35</v>
      </c>
      <c r="Z296" s="2066"/>
      <c r="AA296" s="2067"/>
    </row>
    <row r="297" spans="1:27">
      <c r="A297" s="2154"/>
      <c r="B297" s="2155"/>
      <c r="C297" s="2155"/>
      <c r="D297" s="2155"/>
      <c r="E297" s="2155"/>
      <c r="F297" s="2155"/>
      <c r="G297" s="2155"/>
      <c r="H297" s="2155"/>
      <c r="I297" s="2155"/>
      <c r="J297" s="2155"/>
      <c r="K297" s="2156"/>
      <c r="L297" s="2161"/>
      <c r="M297" s="2054"/>
      <c r="N297" s="2166"/>
      <c r="O297" s="2058"/>
      <c r="P297" s="2056"/>
      <c r="Q297" s="2056"/>
      <c r="R297" s="2056"/>
      <c r="S297" s="2056"/>
      <c r="T297" s="2056"/>
      <c r="U297" s="2056"/>
      <c r="V297" s="2056"/>
      <c r="W297" s="2056"/>
      <c r="X297" s="2056"/>
      <c r="Y297" s="2056"/>
      <c r="Z297" s="2068"/>
      <c r="AA297" s="2069"/>
    </row>
    <row r="298" spans="1:27">
      <c r="A298" s="2154"/>
      <c r="B298" s="2155"/>
      <c r="C298" s="2155"/>
      <c r="D298" s="2155"/>
      <c r="E298" s="2155"/>
      <c r="F298" s="2155"/>
      <c r="G298" s="2155"/>
      <c r="H298" s="2155"/>
      <c r="I298" s="2155"/>
      <c r="J298" s="2155"/>
      <c r="K298" s="2156"/>
      <c r="L298" s="2161"/>
      <c r="M298" s="2054"/>
      <c r="N298" s="2166"/>
      <c r="O298" s="2058"/>
      <c r="P298" s="2056"/>
      <c r="Q298" s="2056"/>
      <c r="R298" s="2056"/>
      <c r="S298" s="2056"/>
      <c r="T298" s="2056"/>
      <c r="U298" s="2056"/>
      <c r="V298" s="2056"/>
      <c r="W298" s="2056"/>
      <c r="X298" s="2056"/>
      <c r="Y298" s="2056"/>
      <c r="Z298" s="2068"/>
      <c r="AA298" s="2069"/>
    </row>
    <row r="299" spans="1:27">
      <c r="A299" s="2154"/>
      <c r="B299" s="2155"/>
      <c r="C299" s="2155"/>
      <c r="D299" s="2155"/>
      <c r="E299" s="2155"/>
      <c r="F299" s="2155"/>
      <c r="G299" s="2155"/>
      <c r="H299" s="2155"/>
      <c r="I299" s="2155"/>
      <c r="J299" s="2155"/>
      <c r="K299" s="2156"/>
      <c r="L299" s="2161"/>
      <c r="M299" s="2164"/>
      <c r="N299" s="2167"/>
      <c r="O299" s="2058"/>
      <c r="P299" s="2134"/>
      <c r="Q299" s="2134"/>
      <c r="R299" s="2134"/>
      <c r="S299" s="2134"/>
      <c r="T299" s="2134"/>
      <c r="U299" s="2134"/>
      <c r="V299" s="2134"/>
      <c r="W299" s="2134"/>
      <c r="X299" s="2134"/>
      <c r="Y299" s="2134"/>
      <c r="Z299" s="2068"/>
      <c r="AA299" s="2069"/>
    </row>
    <row r="300" spans="1:27">
      <c r="A300" s="2154"/>
      <c r="B300" s="2155"/>
      <c r="C300" s="2155"/>
      <c r="D300" s="2155"/>
      <c r="E300" s="2155"/>
      <c r="F300" s="2155"/>
      <c r="G300" s="2155"/>
      <c r="H300" s="2155"/>
      <c r="I300" s="2155"/>
      <c r="J300" s="2155"/>
      <c r="K300" s="2156"/>
      <c r="L300" s="2162"/>
      <c r="M300" s="2085" t="s">
        <v>143</v>
      </c>
      <c r="N300" s="2056">
        <f>SUM(P300:Y303)</f>
        <v>4802168.1500000004</v>
      </c>
      <c r="O300" s="2058" t="s">
        <v>112</v>
      </c>
      <c r="P300" s="2086">
        <f>P22+P35+P52+P65+P78+P91+P104+P117+P226+P156+P169+P182+P143+P130+P252+P195+P239+P265+P278+P291</f>
        <v>3833847.15</v>
      </c>
      <c r="Q300" s="2086">
        <f t="shared" ref="Q300:Y300" si="23">Q22+Q35+Q52+Q65+Q78+Q91+Q104+Q117+Q226+Q156+Q169+Q182+Q143+Q130+Q252+Q195+Q239+Q265+Q278+Q291</f>
        <v>955361</v>
      </c>
      <c r="R300" s="2086">
        <f t="shared" si="23"/>
        <v>12960</v>
      </c>
      <c r="S300" s="2086">
        <f t="shared" si="23"/>
        <v>0</v>
      </c>
      <c r="T300" s="2086">
        <f t="shared" si="23"/>
        <v>0</v>
      </c>
      <c r="U300" s="2086">
        <f t="shared" si="23"/>
        <v>0</v>
      </c>
      <c r="V300" s="2086">
        <f t="shared" si="23"/>
        <v>0</v>
      </c>
      <c r="W300" s="2086">
        <f t="shared" si="23"/>
        <v>0</v>
      </c>
      <c r="X300" s="2086">
        <f t="shared" si="23"/>
        <v>0</v>
      </c>
      <c r="Y300" s="2086">
        <f t="shared" si="23"/>
        <v>0</v>
      </c>
      <c r="Z300" s="2121"/>
      <c r="AA300" s="2122"/>
    </row>
    <row r="301" spans="1:27">
      <c r="A301" s="2154"/>
      <c r="B301" s="2155"/>
      <c r="C301" s="2155"/>
      <c r="D301" s="2155"/>
      <c r="E301" s="2155"/>
      <c r="F301" s="2155"/>
      <c r="G301" s="2155"/>
      <c r="H301" s="2155"/>
      <c r="I301" s="2155"/>
      <c r="J301" s="2155"/>
      <c r="K301" s="2156"/>
      <c r="L301" s="2162"/>
      <c r="M301" s="2085"/>
      <c r="N301" s="2056"/>
      <c r="O301" s="2058"/>
      <c r="P301" s="2086"/>
      <c r="Q301" s="2086"/>
      <c r="R301" s="2086"/>
      <c r="S301" s="2086"/>
      <c r="T301" s="2086"/>
      <c r="U301" s="2086"/>
      <c r="V301" s="2086"/>
      <c r="W301" s="2086"/>
      <c r="X301" s="2086"/>
      <c r="Y301" s="2086"/>
      <c r="Z301" s="2121"/>
      <c r="AA301" s="2122"/>
    </row>
    <row r="302" spans="1:27">
      <c r="A302" s="2154"/>
      <c r="B302" s="2155"/>
      <c r="C302" s="2155"/>
      <c r="D302" s="2155"/>
      <c r="E302" s="2155"/>
      <c r="F302" s="2155"/>
      <c r="G302" s="2155"/>
      <c r="H302" s="2155"/>
      <c r="I302" s="2155"/>
      <c r="J302" s="2155"/>
      <c r="K302" s="2156"/>
      <c r="L302" s="2162"/>
      <c r="M302" s="2085"/>
      <c r="N302" s="2056"/>
      <c r="O302" s="2058"/>
      <c r="P302" s="2086"/>
      <c r="Q302" s="2086"/>
      <c r="R302" s="2086"/>
      <c r="S302" s="2086"/>
      <c r="T302" s="2086"/>
      <c r="U302" s="2086"/>
      <c r="V302" s="2086"/>
      <c r="W302" s="2086"/>
      <c r="X302" s="2086"/>
      <c r="Y302" s="2086"/>
      <c r="Z302" s="2121"/>
      <c r="AA302" s="2122"/>
    </row>
    <row r="303" spans="1:27">
      <c r="A303" s="2154"/>
      <c r="B303" s="2155"/>
      <c r="C303" s="2155"/>
      <c r="D303" s="2155"/>
      <c r="E303" s="2155"/>
      <c r="F303" s="2155"/>
      <c r="G303" s="2155"/>
      <c r="H303" s="2155"/>
      <c r="I303" s="2155"/>
      <c r="J303" s="2155"/>
      <c r="K303" s="2156"/>
      <c r="L303" s="2162"/>
      <c r="M303" s="2085"/>
      <c r="N303" s="2056"/>
      <c r="O303" s="2058"/>
      <c r="P303" s="2086"/>
      <c r="Q303" s="2086"/>
      <c r="R303" s="2086"/>
      <c r="S303" s="2086"/>
      <c r="T303" s="2086"/>
      <c r="U303" s="2086"/>
      <c r="V303" s="2086"/>
      <c r="W303" s="2086"/>
      <c r="X303" s="2086"/>
      <c r="Y303" s="2086"/>
      <c r="Z303" s="2121"/>
      <c r="AA303" s="2122"/>
    </row>
    <row r="304" spans="1:27">
      <c r="A304" s="2154"/>
      <c r="B304" s="2155"/>
      <c r="C304" s="2155"/>
      <c r="D304" s="2155"/>
      <c r="E304" s="2155"/>
      <c r="F304" s="2155"/>
      <c r="G304" s="2155"/>
      <c r="H304" s="2155"/>
      <c r="I304" s="2155"/>
      <c r="J304" s="2155"/>
      <c r="K304" s="2156"/>
      <c r="L304" s="2169">
        <f>L24+L37+L52+L67+L80+L93+L106+L119+L228+L184+L171+L158+L145+L132+L254+L241+L218+L209+L197+L267+L280+L292</f>
        <v>9779720.75</v>
      </c>
      <c r="M304" s="2034" t="s">
        <v>400</v>
      </c>
      <c r="N304" s="2134">
        <f>SUM(P304:Y307)</f>
        <v>30824719.450000003</v>
      </c>
      <c r="O304" s="2172" t="s">
        <v>112</v>
      </c>
      <c r="P304" s="2130">
        <f>P39+P48+P56+P69+P82+P95+P108+P121+P230+P186+P173+P160+P134+P147+P256+P243+P217+P208+P199+P269+P282</f>
        <v>12178304.710000001</v>
      </c>
      <c r="Q304" s="2130">
        <f t="shared" ref="Q304:Y304" si="24">Q39+Q48+Q56+Q69+Q82+Q95+Q108+Q121+Q230+Q186+Q173+Q160+Q134+Q147+Q256+Q243+Q217+Q208+Q199+Q269+Q282</f>
        <v>8139134.0199999996</v>
      </c>
      <c r="R304" s="2130">
        <f t="shared" si="24"/>
        <v>2503603.5499999998</v>
      </c>
      <c r="S304" s="2130">
        <f t="shared" si="24"/>
        <v>2159095.14</v>
      </c>
      <c r="T304" s="2130">
        <f t="shared" si="24"/>
        <v>1769903.5899999999</v>
      </c>
      <c r="U304" s="2130">
        <f t="shared" si="24"/>
        <v>944428.13</v>
      </c>
      <c r="V304" s="2130">
        <f t="shared" si="24"/>
        <v>898204.96</v>
      </c>
      <c r="W304" s="2130">
        <f t="shared" si="24"/>
        <v>852319.45</v>
      </c>
      <c r="X304" s="2130">
        <f t="shared" si="24"/>
        <v>805758.55</v>
      </c>
      <c r="Y304" s="2130">
        <f t="shared" si="24"/>
        <v>573967.35</v>
      </c>
      <c r="Z304" s="2121"/>
      <c r="AA304" s="2122"/>
    </row>
    <row r="305" spans="1:27">
      <c r="A305" s="2154"/>
      <c r="B305" s="2155"/>
      <c r="C305" s="2155"/>
      <c r="D305" s="2155"/>
      <c r="E305" s="2155"/>
      <c r="F305" s="2155"/>
      <c r="G305" s="2155"/>
      <c r="H305" s="2155"/>
      <c r="I305" s="2155"/>
      <c r="J305" s="2155"/>
      <c r="K305" s="2156"/>
      <c r="L305" s="2169"/>
      <c r="M305" s="2035"/>
      <c r="N305" s="2166"/>
      <c r="O305" s="2172"/>
      <c r="P305" s="2131"/>
      <c r="Q305" s="2131"/>
      <c r="R305" s="2131"/>
      <c r="S305" s="2131"/>
      <c r="T305" s="2131"/>
      <c r="U305" s="2131"/>
      <c r="V305" s="2131"/>
      <c r="W305" s="2131"/>
      <c r="X305" s="2131"/>
      <c r="Y305" s="2131"/>
      <c r="Z305" s="2121"/>
      <c r="AA305" s="2122"/>
    </row>
    <row r="306" spans="1:27">
      <c r="A306" s="2154"/>
      <c r="B306" s="2155"/>
      <c r="C306" s="2155"/>
      <c r="D306" s="2155"/>
      <c r="E306" s="2155"/>
      <c r="F306" s="2155"/>
      <c r="G306" s="2155"/>
      <c r="H306" s="2155"/>
      <c r="I306" s="2155"/>
      <c r="J306" s="2155"/>
      <c r="K306" s="2156"/>
      <c r="L306" s="2169"/>
      <c r="M306" s="2035"/>
      <c r="N306" s="2166"/>
      <c r="O306" s="2172"/>
      <c r="P306" s="2131"/>
      <c r="Q306" s="2131"/>
      <c r="R306" s="2131"/>
      <c r="S306" s="2131"/>
      <c r="T306" s="2131"/>
      <c r="U306" s="2131"/>
      <c r="V306" s="2131"/>
      <c r="W306" s="2131"/>
      <c r="X306" s="2131"/>
      <c r="Y306" s="2131"/>
      <c r="Z306" s="2121"/>
      <c r="AA306" s="2122"/>
    </row>
    <row r="307" spans="1:27" ht="13.5" thickBot="1">
      <c r="A307" s="2157"/>
      <c r="B307" s="2158"/>
      <c r="C307" s="2158"/>
      <c r="D307" s="2158"/>
      <c r="E307" s="2158"/>
      <c r="F307" s="2158"/>
      <c r="G307" s="2158"/>
      <c r="H307" s="2158"/>
      <c r="I307" s="2158"/>
      <c r="J307" s="2158"/>
      <c r="K307" s="2159"/>
      <c r="L307" s="2170"/>
      <c r="M307" s="2171"/>
      <c r="N307" s="2174"/>
      <c r="O307" s="2173"/>
      <c r="P307" s="2132"/>
      <c r="Q307" s="2132"/>
      <c r="R307" s="2132"/>
      <c r="S307" s="2132"/>
      <c r="T307" s="2132"/>
      <c r="U307" s="2132"/>
      <c r="V307" s="2132"/>
      <c r="W307" s="2132"/>
      <c r="X307" s="2132"/>
      <c r="Y307" s="2132"/>
      <c r="Z307" s="2123"/>
      <c r="AA307" s="2124"/>
    </row>
  </sheetData>
  <mergeCells count="1365">
    <mergeCell ref="AA28:AA29"/>
    <mergeCell ref="A3:AA3"/>
    <mergeCell ref="A4:AA4"/>
    <mergeCell ref="A6:A17"/>
    <mergeCell ref="B6:C7"/>
    <mergeCell ref="D6:E7"/>
    <mergeCell ref="F6:I7"/>
    <mergeCell ref="J6:K11"/>
    <mergeCell ref="L6:L11"/>
    <mergeCell ref="M6:AA8"/>
    <mergeCell ref="B8:C9"/>
    <mergeCell ref="W9:W17"/>
    <mergeCell ref="X9:X17"/>
    <mergeCell ref="Y9:Y17"/>
    <mergeCell ref="Z9:AA17"/>
    <mergeCell ref="B10:I13"/>
    <mergeCell ref="J12:J17"/>
    <mergeCell ref="K12:K17"/>
    <mergeCell ref="L12:L17"/>
    <mergeCell ref="B14:I17"/>
    <mergeCell ref="Q9:Q17"/>
    <mergeCell ref="R9:R17"/>
    <mergeCell ref="S9:S17"/>
    <mergeCell ref="T9:T17"/>
    <mergeCell ref="U9:U17"/>
    <mergeCell ref="V9:V17"/>
    <mergeCell ref="D8:E9"/>
    <mergeCell ref="F8:I9"/>
    <mergeCell ref="M9:M17"/>
    <mergeCell ref="N9:N17"/>
    <mergeCell ref="O9:O17"/>
    <mergeCell ref="P9:P17"/>
    <mergeCell ref="N35:N38"/>
    <mergeCell ref="O35:O38"/>
    <mergeCell ref="X18:X21"/>
    <mergeCell ref="Y18:Y21"/>
    <mergeCell ref="Z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N22:N29"/>
    <mergeCell ref="O22:O29"/>
    <mergeCell ref="P22:P29"/>
    <mergeCell ref="B18:C19"/>
    <mergeCell ref="D18:E19"/>
    <mergeCell ref="F18:I19"/>
    <mergeCell ref="J18:J29"/>
    <mergeCell ref="K18:K29"/>
    <mergeCell ref="B22:I25"/>
    <mergeCell ref="B26:I29"/>
    <mergeCell ref="Z28:Z29"/>
    <mergeCell ref="Y35:Y38"/>
    <mergeCell ref="Z35:Z36"/>
    <mergeCell ref="A31:A42"/>
    <mergeCell ref="B31:C32"/>
    <mergeCell ref="D31:E32"/>
    <mergeCell ref="F31:I32"/>
    <mergeCell ref="J31:J42"/>
    <mergeCell ref="K31:K42"/>
    <mergeCell ref="L31:L36"/>
    <mergeCell ref="M31:M34"/>
    <mergeCell ref="W22:W29"/>
    <mergeCell ref="X22:X29"/>
    <mergeCell ref="Y22:Y29"/>
    <mergeCell ref="Z22:Z23"/>
    <mergeCell ref="AA22:AA23"/>
    <mergeCell ref="L24:L29"/>
    <mergeCell ref="Z24:Z25"/>
    <mergeCell ref="AA24:AA25"/>
    <mergeCell ref="Z26:Z27"/>
    <mergeCell ref="AA26:AA27"/>
    <mergeCell ref="Q22:Q29"/>
    <mergeCell ref="R22:R29"/>
    <mergeCell ref="S22:S29"/>
    <mergeCell ref="T22:T29"/>
    <mergeCell ref="U22:U29"/>
    <mergeCell ref="V22:V29"/>
    <mergeCell ref="A18:A29"/>
    <mergeCell ref="B33:C34"/>
    <mergeCell ref="D33:E34"/>
    <mergeCell ref="F33:I34"/>
    <mergeCell ref="B35:I38"/>
    <mergeCell ref="M35:M38"/>
    <mergeCell ref="AA35:AA36"/>
    <mergeCell ref="L37:L42"/>
    <mergeCell ref="Z37:Z38"/>
    <mergeCell ref="AA37:AA38"/>
    <mergeCell ref="R39:R42"/>
    <mergeCell ref="S39:S42"/>
    <mergeCell ref="T39:T42"/>
    <mergeCell ref="R35:R38"/>
    <mergeCell ref="S35:S38"/>
    <mergeCell ref="T35:T38"/>
    <mergeCell ref="U35:U38"/>
    <mergeCell ref="V35:V38"/>
    <mergeCell ref="W35:W38"/>
    <mergeCell ref="Z31:AA34"/>
    <mergeCell ref="AA39:AA40"/>
    <mergeCell ref="Z41:Z42"/>
    <mergeCell ref="AA41:AA42"/>
    <mergeCell ref="P35:P38"/>
    <mergeCell ref="Q35:Q38"/>
    <mergeCell ref="T31:T34"/>
    <mergeCell ref="U31:U34"/>
    <mergeCell ref="V31:V34"/>
    <mergeCell ref="W31:W34"/>
    <mergeCell ref="X31:X34"/>
    <mergeCell ref="Y31:Y34"/>
    <mergeCell ref="N31:N34"/>
    <mergeCell ref="O31:O34"/>
    <mergeCell ref="P31:P34"/>
    <mergeCell ref="Q31:Q34"/>
    <mergeCell ref="R31:R34"/>
    <mergeCell ref="S31:S34"/>
    <mergeCell ref="X35:X38"/>
    <mergeCell ref="A44:A59"/>
    <mergeCell ref="B44:C45"/>
    <mergeCell ref="D44:E45"/>
    <mergeCell ref="F44:I45"/>
    <mergeCell ref="J44:J59"/>
    <mergeCell ref="K44:K59"/>
    <mergeCell ref="L44:L51"/>
    <mergeCell ref="U39:U42"/>
    <mergeCell ref="V39:V42"/>
    <mergeCell ref="W39:W42"/>
    <mergeCell ref="X39:X42"/>
    <mergeCell ref="Y39:Y42"/>
    <mergeCell ref="Z39:Z40"/>
    <mergeCell ref="B39:I42"/>
    <mergeCell ref="M39:M42"/>
    <mergeCell ref="N39:N42"/>
    <mergeCell ref="O39:O42"/>
    <mergeCell ref="P39:P42"/>
    <mergeCell ref="Q39:Q42"/>
    <mergeCell ref="S48:S51"/>
    <mergeCell ref="T48:T51"/>
    <mergeCell ref="Y44:Y47"/>
    <mergeCell ref="Z44:AA47"/>
    <mergeCell ref="B46:C47"/>
    <mergeCell ref="D46:E47"/>
    <mergeCell ref="F46:I47"/>
    <mergeCell ref="B48:C49"/>
    <mergeCell ref="D48:E49"/>
    <mergeCell ref="F48:I49"/>
    <mergeCell ref="M48:M51"/>
    <mergeCell ref="N48:N51"/>
    <mergeCell ref="S44:S47"/>
    <mergeCell ref="T44:T47"/>
    <mergeCell ref="U44:U47"/>
    <mergeCell ref="V44:V47"/>
    <mergeCell ref="W44:W47"/>
    <mergeCell ref="X44:X47"/>
    <mergeCell ref="M44:M47"/>
    <mergeCell ref="N44:N47"/>
    <mergeCell ref="O44:O47"/>
    <mergeCell ref="P44:P47"/>
    <mergeCell ref="Q44:Q47"/>
    <mergeCell ref="R44:R47"/>
    <mergeCell ref="X52:X55"/>
    <mergeCell ref="Y52:Y55"/>
    <mergeCell ref="Z52:Z53"/>
    <mergeCell ref="AA52:AA53"/>
    <mergeCell ref="Z54:Z55"/>
    <mergeCell ref="AA54:AA55"/>
    <mergeCell ref="R52:R55"/>
    <mergeCell ref="S52:S55"/>
    <mergeCell ref="T52:T55"/>
    <mergeCell ref="U52:U55"/>
    <mergeCell ref="V52:V55"/>
    <mergeCell ref="W52:W55"/>
    <mergeCell ref="AA48:AA49"/>
    <mergeCell ref="B50:I55"/>
    <mergeCell ref="Z50:Z51"/>
    <mergeCell ref="AA50:AA51"/>
    <mergeCell ref="L52:L59"/>
    <mergeCell ref="M52:M55"/>
    <mergeCell ref="N52:N55"/>
    <mergeCell ref="O52:O55"/>
    <mergeCell ref="P52:P55"/>
    <mergeCell ref="Q52:Q55"/>
    <mergeCell ref="U48:U51"/>
    <mergeCell ref="V48:V51"/>
    <mergeCell ref="W48:W51"/>
    <mergeCell ref="X48:X51"/>
    <mergeCell ref="Y48:Y51"/>
    <mergeCell ref="Z48:Z49"/>
    <mergeCell ref="O48:O51"/>
    <mergeCell ref="P48:P51"/>
    <mergeCell ref="Q48:Q51"/>
    <mergeCell ref="R48:R51"/>
    <mergeCell ref="X56:X59"/>
    <mergeCell ref="Y56:Y59"/>
    <mergeCell ref="Z56:Z57"/>
    <mergeCell ref="AA56:AA57"/>
    <mergeCell ref="Z58:Z59"/>
    <mergeCell ref="AA58:AA59"/>
    <mergeCell ref="R56:R59"/>
    <mergeCell ref="S56:S59"/>
    <mergeCell ref="T56:T59"/>
    <mergeCell ref="U56:U59"/>
    <mergeCell ref="V56:V59"/>
    <mergeCell ref="W56:W59"/>
    <mergeCell ref="B56:I59"/>
    <mergeCell ref="M56:M59"/>
    <mergeCell ref="N56:N59"/>
    <mergeCell ref="O56:O59"/>
    <mergeCell ref="P56:P59"/>
    <mergeCell ref="Q56:Q59"/>
    <mergeCell ref="B63:C64"/>
    <mergeCell ref="D63:E64"/>
    <mergeCell ref="F63:I64"/>
    <mergeCell ref="R61:R64"/>
    <mergeCell ref="S61:S64"/>
    <mergeCell ref="T61:T64"/>
    <mergeCell ref="U61:U64"/>
    <mergeCell ref="V61:V64"/>
    <mergeCell ref="W61:W64"/>
    <mergeCell ref="L61:L66"/>
    <mergeCell ref="M61:M64"/>
    <mergeCell ref="N61:N64"/>
    <mergeCell ref="O61:O64"/>
    <mergeCell ref="P61:P64"/>
    <mergeCell ref="Q61:Q64"/>
    <mergeCell ref="M65:M68"/>
    <mergeCell ref="N65:N68"/>
    <mergeCell ref="O65:O68"/>
    <mergeCell ref="P65:P68"/>
    <mergeCell ref="B61:C62"/>
    <mergeCell ref="D61:E62"/>
    <mergeCell ref="F61:I62"/>
    <mergeCell ref="J61:J72"/>
    <mergeCell ref="K61:K72"/>
    <mergeCell ref="B65:I68"/>
    <mergeCell ref="B69:I72"/>
    <mergeCell ref="W65:W68"/>
    <mergeCell ref="X65:X68"/>
    <mergeCell ref="Y65:Y68"/>
    <mergeCell ref="Z65:Z66"/>
    <mergeCell ref="AA65:AA66"/>
    <mergeCell ref="L67:L72"/>
    <mergeCell ref="Z67:Z68"/>
    <mergeCell ref="AA67:AA68"/>
    <mergeCell ref="M69:M72"/>
    <mergeCell ref="N69:N72"/>
    <mergeCell ref="Q65:Q68"/>
    <mergeCell ref="R65:R68"/>
    <mergeCell ref="S65:S68"/>
    <mergeCell ref="T65:T68"/>
    <mergeCell ref="U65:U68"/>
    <mergeCell ref="V65:V68"/>
    <mergeCell ref="X61:X64"/>
    <mergeCell ref="Y61:Y64"/>
    <mergeCell ref="Z61:AA64"/>
    <mergeCell ref="AA69:AA70"/>
    <mergeCell ref="Z71:Z72"/>
    <mergeCell ref="AA71:AA72"/>
    <mergeCell ref="A74:A85"/>
    <mergeCell ref="B74:C75"/>
    <mergeCell ref="D74:E75"/>
    <mergeCell ref="F74:I75"/>
    <mergeCell ref="J74:J85"/>
    <mergeCell ref="K74:K85"/>
    <mergeCell ref="L74:L79"/>
    <mergeCell ref="U69:U72"/>
    <mergeCell ref="V69:V72"/>
    <mergeCell ref="W69:W72"/>
    <mergeCell ref="X69:X72"/>
    <mergeCell ref="Y69:Y72"/>
    <mergeCell ref="Z69:Z70"/>
    <mergeCell ref="O69:O72"/>
    <mergeCell ref="P69:P72"/>
    <mergeCell ref="Q69:Q72"/>
    <mergeCell ref="R69:R72"/>
    <mergeCell ref="S69:S72"/>
    <mergeCell ref="T69:T72"/>
    <mergeCell ref="A61:A72"/>
    <mergeCell ref="B76:C77"/>
    <mergeCell ref="D76:E77"/>
    <mergeCell ref="F76:I77"/>
    <mergeCell ref="B78:I81"/>
    <mergeCell ref="M78:M81"/>
    <mergeCell ref="N78:N81"/>
    <mergeCell ref="O78:O81"/>
    <mergeCell ref="P78:P81"/>
    <mergeCell ref="S74:S77"/>
    <mergeCell ref="T74:T77"/>
    <mergeCell ref="U74:U77"/>
    <mergeCell ref="V74:V77"/>
    <mergeCell ref="W74:W77"/>
    <mergeCell ref="X74:X77"/>
    <mergeCell ref="M74:M77"/>
    <mergeCell ref="N74:N77"/>
    <mergeCell ref="O74:O77"/>
    <mergeCell ref="P74:P77"/>
    <mergeCell ref="Q74:Q77"/>
    <mergeCell ref="R74:R77"/>
    <mergeCell ref="W78:W81"/>
    <mergeCell ref="X78:X81"/>
    <mergeCell ref="Y78:Y81"/>
    <mergeCell ref="Z78:Z79"/>
    <mergeCell ref="AA78:AA79"/>
    <mergeCell ref="L80:L85"/>
    <mergeCell ref="Z80:Z81"/>
    <mergeCell ref="AA80:AA81"/>
    <mergeCell ref="R82:R85"/>
    <mergeCell ref="S82:S85"/>
    <mergeCell ref="Q78:Q81"/>
    <mergeCell ref="R78:R81"/>
    <mergeCell ref="S78:S81"/>
    <mergeCell ref="T78:T81"/>
    <mergeCell ref="U78:U81"/>
    <mergeCell ref="V78:V81"/>
    <mergeCell ref="Y74:Y77"/>
    <mergeCell ref="Z74:AA77"/>
    <mergeCell ref="Z82:Z83"/>
    <mergeCell ref="AA82:AA83"/>
    <mergeCell ref="Z84:Z85"/>
    <mergeCell ref="AA84:AA85"/>
    <mergeCell ref="B87:C88"/>
    <mergeCell ref="D87:E88"/>
    <mergeCell ref="F87:I88"/>
    <mergeCell ref="J87:J98"/>
    <mergeCell ref="K87:K98"/>
    <mergeCell ref="T82:T85"/>
    <mergeCell ref="U82:U85"/>
    <mergeCell ref="V82:V85"/>
    <mergeCell ref="W82:W85"/>
    <mergeCell ref="X82:X85"/>
    <mergeCell ref="Y82:Y85"/>
    <mergeCell ref="B82:I85"/>
    <mergeCell ref="M82:M85"/>
    <mergeCell ref="N82:N85"/>
    <mergeCell ref="O82:O85"/>
    <mergeCell ref="P82:P85"/>
    <mergeCell ref="Q82:Q85"/>
    <mergeCell ref="X87:X90"/>
    <mergeCell ref="Y87:Y90"/>
    <mergeCell ref="B91:I94"/>
    <mergeCell ref="M91:M94"/>
    <mergeCell ref="N91:N94"/>
    <mergeCell ref="O91:O94"/>
    <mergeCell ref="P91:P94"/>
    <mergeCell ref="Q91:Q94"/>
    <mergeCell ref="Z87:AA90"/>
    <mergeCell ref="B89:C90"/>
    <mergeCell ref="D89:E90"/>
    <mergeCell ref="F89:I90"/>
    <mergeCell ref="R87:R90"/>
    <mergeCell ref="S87:S90"/>
    <mergeCell ref="T87:T90"/>
    <mergeCell ref="U87:U90"/>
    <mergeCell ref="V87:V90"/>
    <mergeCell ref="W87:W90"/>
    <mergeCell ref="L87:L92"/>
    <mergeCell ref="M87:M90"/>
    <mergeCell ref="N87:N90"/>
    <mergeCell ref="O87:O90"/>
    <mergeCell ref="P87:P90"/>
    <mergeCell ref="Q87:Q90"/>
    <mergeCell ref="X91:X94"/>
    <mergeCell ref="Y91:Y94"/>
    <mergeCell ref="Z91:Z92"/>
    <mergeCell ref="AA91:AA92"/>
    <mergeCell ref="L93:L98"/>
    <mergeCell ref="Z93:Z94"/>
    <mergeCell ref="AA93:AA94"/>
    <mergeCell ref="R95:R98"/>
    <mergeCell ref="S95:S98"/>
    <mergeCell ref="T95:T98"/>
    <mergeCell ref="R91:R94"/>
    <mergeCell ref="S91:S94"/>
    <mergeCell ref="T91:T94"/>
    <mergeCell ref="U91:U94"/>
    <mergeCell ref="V91:V94"/>
    <mergeCell ref="W91:W94"/>
    <mergeCell ref="AA95:AA96"/>
    <mergeCell ref="Z97:Z98"/>
    <mergeCell ref="AA97:AA98"/>
    <mergeCell ref="A100:A111"/>
    <mergeCell ref="B100:C101"/>
    <mergeCell ref="D100:I103"/>
    <mergeCell ref="J100:J111"/>
    <mergeCell ref="K100:K111"/>
    <mergeCell ref="L100:L105"/>
    <mergeCell ref="M100:M103"/>
    <mergeCell ref="U95:U98"/>
    <mergeCell ref="V95:V98"/>
    <mergeCell ref="W95:W98"/>
    <mergeCell ref="X95:X98"/>
    <mergeCell ref="Y95:Y98"/>
    <mergeCell ref="Z95:Z96"/>
    <mergeCell ref="B95:I98"/>
    <mergeCell ref="M95:M98"/>
    <mergeCell ref="N95:N98"/>
    <mergeCell ref="O95:O98"/>
    <mergeCell ref="P95:P98"/>
    <mergeCell ref="Q95:Q98"/>
    <mergeCell ref="B108:I111"/>
    <mergeCell ref="M108:M111"/>
    <mergeCell ref="N108:N111"/>
    <mergeCell ref="O108:O111"/>
    <mergeCell ref="P108:P111"/>
    <mergeCell ref="T104:T107"/>
    <mergeCell ref="U104:U107"/>
    <mergeCell ref="V104:V107"/>
    <mergeCell ref="W104:W107"/>
    <mergeCell ref="A87:A98"/>
    <mergeCell ref="S117:S120"/>
    <mergeCell ref="T117:T120"/>
    <mergeCell ref="Z104:Z105"/>
    <mergeCell ref="AA104:AA105"/>
    <mergeCell ref="L106:L111"/>
    <mergeCell ref="Z106:Z107"/>
    <mergeCell ref="AA106:AA107"/>
    <mergeCell ref="X104:X107"/>
    <mergeCell ref="Y104:Y107"/>
    <mergeCell ref="Z100:AA103"/>
    <mergeCell ref="B102:C103"/>
    <mergeCell ref="B104:I107"/>
    <mergeCell ref="M104:M107"/>
    <mergeCell ref="N104:N107"/>
    <mergeCell ref="O104:O107"/>
    <mergeCell ref="P104:P107"/>
    <mergeCell ref="Q104:Q107"/>
    <mergeCell ref="R104:R107"/>
    <mergeCell ref="S104:S107"/>
    <mergeCell ref="T100:T103"/>
    <mergeCell ref="U100:U103"/>
    <mergeCell ref="V100:V103"/>
    <mergeCell ref="W100:W103"/>
    <mergeCell ref="X100:X103"/>
    <mergeCell ref="Y100:Y103"/>
    <mergeCell ref="N100:N103"/>
    <mergeCell ref="O100:O103"/>
    <mergeCell ref="P100:P103"/>
    <mergeCell ref="Q100:Q103"/>
    <mergeCell ref="R100:R103"/>
    <mergeCell ref="S100:S103"/>
    <mergeCell ref="Z117:Z118"/>
    <mergeCell ref="Q121:Q124"/>
    <mergeCell ref="R121:R124"/>
    <mergeCell ref="P117:P120"/>
    <mergeCell ref="B113:C114"/>
    <mergeCell ref="D113:E114"/>
    <mergeCell ref="F113:I114"/>
    <mergeCell ref="J113:J124"/>
    <mergeCell ref="K113:K124"/>
    <mergeCell ref="B117:I120"/>
    <mergeCell ref="B121:I124"/>
    <mergeCell ref="W117:W120"/>
    <mergeCell ref="W108:W111"/>
    <mergeCell ref="X108:X111"/>
    <mergeCell ref="Y108:Y111"/>
    <mergeCell ref="Z108:Z109"/>
    <mergeCell ref="AA108:AA109"/>
    <mergeCell ref="Z110:Z111"/>
    <mergeCell ref="AA110:AA111"/>
    <mergeCell ref="Q108:Q111"/>
    <mergeCell ref="R108:R111"/>
    <mergeCell ref="S108:S111"/>
    <mergeCell ref="T108:T111"/>
    <mergeCell ref="U108:U111"/>
    <mergeCell ref="V108:V111"/>
    <mergeCell ref="AA117:AA118"/>
    <mergeCell ref="L119:L124"/>
    <mergeCell ref="Z119:Z120"/>
    <mergeCell ref="AA119:AA120"/>
    <mergeCell ref="M121:M124"/>
    <mergeCell ref="N121:N124"/>
    <mergeCell ref="Q117:Q120"/>
    <mergeCell ref="R117:R120"/>
    <mergeCell ref="A113:A124"/>
    <mergeCell ref="B128:C129"/>
    <mergeCell ref="D128:E129"/>
    <mergeCell ref="F128:I129"/>
    <mergeCell ref="B130:I133"/>
    <mergeCell ref="M130:M133"/>
    <mergeCell ref="N130:N133"/>
    <mergeCell ref="O130:O133"/>
    <mergeCell ref="P130:P133"/>
    <mergeCell ref="S126:S129"/>
    <mergeCell ref="T126:T129"/>
    <mergeCell ref="U126:U129"/>
    <mergeCell ref="V126:V129"/>
    <mergeCell ref="X117:X120"/>
    <mergeCell ref="Y117:Y120"/>
    <mergeCell ref="U117:U120"/>
    <mergeCell ref="V117:V120"/>
    <mergeCell ref="X113:X116"/>
    <mergeCell ref="Y113:Y116"/>
    <mergeCell ref="R113:R116"/>
    <mergeCell ref="S113:S116"/>
    <mergeCell ref="T113:T116"/>
    <mergeCell ref="U113:U116"/>
    <mergeCell ref="V113:V116"/>
    <mergeCell ref="W113:W116"/>
    <mergeCell ref="L113:L118"/>
    <mergeCell ref="M113:M116"/>
    <mergeCell ref="N113:N116"/>
    <mergeCell ref="O113:O116"/>
    <mergeCell ref="P113:P116"/>
    <mergeCell ref="Q113:Q116"/>
    <mergeCell ref="M117:M120"/>
    <mergeCell ref="B115:C116"/>
    <mergeCell ref="D115:E116"/>
    <mergeCell ref="F115:I116"/>
    <mergeCell ref="O117:O120"/>
    <mergeCell ref="W126:W129"/>
    <mergeCell ref="X126:X129"/>
    <mergeCell ref="M126:M129"/>
    <mergeCell ref="N126:N129"/>
    <mergeCell ref="O126:O129"/>
    <mergeCell ref="P126:P129"/>
    <mergeCell ref="Q126:Q129"/>
    <mergeCell ref="R126:R129"/>
    <mergeCell ref="W130:W133"/>
    <mergeCell ref="X130:X133"/>
    <mergeCell ref="Y130:Y133"/>
    <mergeCell ref="Z130:Z131"/>
    <mergeCell ref="S121:S124"/>
    <mergeCell ref="T121:T124"/>
    <mergeCell ref="Z113:AA116"/>
    <mergeCell ref="AA121:AA122"/>
    <mergeCell ref="Z123:Z124"/>
    <mergeCell ref="AA123:AA124"/>
    <mergeCell ref="N117:N120"/>
    <mergeCell ref="U121:U124"/>
    <mergeCell ref="V121:V124"/>
    <mergeCell ref="W121:W124"/>
    <mergeCell ref="X121:X124"/>
    <mergeCell ref="Y121:Y124"/>
    <mergeCell ref="Z121:Z122"/>
    <mergeCell ref="O121:O124"/>
    <mergeCell ref="P121:P124"/>
    <mergeCell ref="AA130:AA131"/>
    <mergeCell ref="L132:L137"/>
    <mergeCell ref="Z132:Z133"/>
    <mergeCell ref="AA132:AA133"/>
    <mergeCell ref="R134:R137"/>
    <mergeCell ref="S134:S137"/>
    <mergeCell ref="Q130:Q133"/>
    <mergeCell ref="R130:R133"/>
    <mergeCell ref="S130:S133"/>
    <mergeCell ref="T130:T133"/>
    <mergeCell ref="U130:U133"/>
    <mergeCell ref="V130:V133"/>
    <mergeCell ref="Y126:Y129"/>
    <mergeCell ref="Z126:AA129"/>
    <mergeCell ref="Z134:Z135"/>
    <mergeCell ref="AA134:AA135"/>
    <mergeCell ref="Z136:Z137"/>
    <mergeCell ref="AA136:AA137"/>
    <mergeCell ref="L126:L131"/>
    <mergeCell ref="A139:A150"/>
    <mergeCell ref="B139:C140"/>
    <mergeCell ref="D139:E140"/>
    <mergeCell ref="F139:I140"/>
    <mergeCell ref="J139:J150"/>
    <mergeCell ref="K139:K150"/>
    <mergeCell ref="T134:T137"/>
    <mergeCell ref="U134:U137"/>
    <mergeCell ref="V134:V137"/>
    <mergeCell ref="W134:W137"/>
    <mergeCell ref="X134:X137"/>
    <mergeCell ref="Y134:Y137"/>
    <mergeCell ref="B134:I137"/>
    <mergeCell ref="M134:M137"/>
    <mergeCell ref="N134:N137"/>
    <mergeCell ref="O134:O137"/>
    <mergeCell ref="P134:P137"/>
    <mergeCell ref="Q134:Q137"/>
    <mergeCell ref="X139:X142"/>
    <mergeCell ref="Y139:Y142"/>
    <mergeCell ref="B143:I146"/>
    <mergeCell ref="M143:M146"/>
    <mergeCell ref="N143:N146"/>
    <mergeCell ref="O143:O146"/>
    <mergeCell ref="P143:P146"/>
    <mergeCell ref="Q143:Q146"/>
    <mergeCell ref="A126:A137"/>
    <mergeCell ref="B126:C127"/>
    <mergeCell ref="D126:E127"/>
    <mergeCell ref="F126:I127"/>
    <mergeCell ref="J126:J137"/>
    <mergeCell ref="K126:K137"/>
    <mergeCell ref="Z139:AA142"/>
    <mergeCell ref="B141:C142"/>
    <mergeCell ref="D141:E142"/>
    <mergeCell ref="F141:I142"/>
    <mergeCell ref="R139:R142"/>
    <mergeCell ref="S139:S142"/>
    <mergeCell ref="T139:T142"/>
    <mergeCell ref="U139:U142"/>
    <mergeCell ref="V139:V142"/>
    <mergeCell ref="W139:W142"/>
    <mergeCell ref="L139:L144"/>
    <mergeCell ref="M139:M142"/>
    <mergeCell ref="N139:N142"/>
    <mergeCell ref="O139:O142"/>
    <mergeCell ref="P139:P142"/>
    <mergeCell ref="Q139:Q142"/>
    <mergeCell ref="X143:X146"/>
    <mergeCell ref="Y143:Y146"/>
    <mergeCell ref="Z143:Z144"/>
    <mergeCell ref="AA143:AA144"/>
    <mergeCell ref="L145:L150"/>
    <mergeCell ref="Z145:Z146"/>
    <mergeCell ref="AA145:AA146"/>
    <mergeCell ref="R147:R150"/>
    <mergeCell ref="S147:S150"/>
    <mergeCell ref="T147:T150"/>
    <mergeCell ref="R143:R146"/>
    <mergeCell ref="S143:S146"/>
    <mergeCell ref="T143:T146"/>
    <mergeCell ref="U143:U146"/>
    <mergeCell ref="V143:V146"/>
    <mergeCell ref="W143:W146"/>
    <mergeCell ref="AA147:AA148"/>
    <mergeCell ref="Z149:Z150"/>
    <mergeCell ref="AA149:AA150"/>
    <mergeCell ref="A152:A163"/>
    <mergeCell ref="B152:C153"/>
    <mergeCell ref="D152:E153"/>
    <mergeCell ref="F152:I153"/>
    <mergeCell ref="J152:J163"/>
    <mergeCell ref="K152:K163"/>
    <mergeCell ref="L152:L157"/>
    <mergeCell ref="U147:U150"/>
    <mergeCell ref="V147:V150"/>
    <mergeCell ref="W147:W150"/>
    <mergeCell ref="X147:X150"/>
    <mergeCell ref="Y147:Y150"/>
    <mergeCell ref="Z147:Z148"/>
    <mergeCell ref="B147:I150"/>
    <mergeCell ref="M147:M150"/>
    <mergeCell ref="N147:N150"/>
    <mergeCell ref="O147:O150"/>
    <mergeCell ref="P147:P150"/>
    <mergeCell ref="Q147:Q150"/>
    <mergeCell ref="B154:C155"/>
    <mergeCell ref="D154:E155"/>
    <mergeCell ref="F154:I155"/>
    <mergeCell ref="B156:I159"/>
    <mergeCell ref="M156:M159"/>
    <mergeCell ref="N156:N159"/>
    <mergeCell ref="O156:O159"/>
    <mergeCell ref="P156:P159"/>
    <mergeCell ref="S152:S155"/>
    <mergeCell ref="T152:T155"/>
    <mergeCell ref="U152:U155"/>
    <mergeCell ref="V152:V155"/>
    <mergeCell ref="W152:W155"/>
    <mergeCell ref="X152:X155"/>
    <mergeCell ref="M152:M155"/>
    <mergeCell ref="N152:N155"/>
    <mergeCell ref="O152:O155"/>
    <mergeCell ref="P152:P155"/>
    <mergeCell ref="Q152:Q155"/>
    <mergeCell ref="R152:R155"/>
    <mergeCell ref="W156:W159"/>
    <mergeCell ref="X156:X159"/>
    <mergeCell ref="Y156:Y159"/>
    <mergeCell ref="Z156:Z157"/>
    <mergeCell ref="AA156:AA157"/>
    <mergeCell ref="L158:L163"/>
    <mergeCell ref="Z158:Z159"/>
    <mergeCell ref="AA158:AA159"/>
    <mergeCell ref="R160:R163"/>
    <mergeCell ref="S160:S163"/>
    <mergeCell ref="Q156:Q159"/>
    <mergeCell ref="R156:R159"/>
    <mergeCell ref="S156:S159"/>
    <mergeCell ref="T156:T159"/>
    <mergeCell ref="U156:U159"/>
    <mergeCell ref="V156:V159"/>
    <mergeCell ref="Y152:Y155"/>
    <mergeCell ref="Z152:AA155"/>
    <mergeCell ref="Z160:Z161"/>
    <mergeCell ref="AA160:AA161"/>
    <mergeCell ref="Z162:Z163"/>
    <mergeCell ref="AA162:AA163"/>
    <mergeCell ref="J165:J176"/>
    <mergeCell ref="K165:K176"/>
    <mergeCell ref="L165:L170"/>
    <mergeCell ref="T160:T163"/>
    <mergeCell ref="U160:U163"/>
    <mergeCell ref="V160:V163"/>
    <mergeCell ref="W160:W163"/>
    <mergeCell ref="X160:X163"/>
    <mergeCell ref="Y160:Y163"/>
    <mergeCell ref="B160:I163"/>
    <mergeCell ref="M160:M163"/>
    <mergeCell ref="N160:N163"/>
    <mergeCell ref="O160:O163"/>
    <mergeCell ref="P160:P163"/>
    <mergeCell ref="Q160:Q163"/>
    <mergeCell ref="B167:C168"/>
    <mergeCell ref="B169:I172"/>
    <mergeCell ref="M169:M172"/>
    <mergeCell ref="N169:N172"/>
    <mergeCell ref="O169:O172"/>
    <mergeCell ref="P169:P172"/>
    <mergeCell ref="Q169:Q172"/>
    <mergeCell ref="R169:R172"/>
    <mergeCell ref="S165:S168"/>
    <mergeCell ref="T165:T168"/>
    <mergeCell ref="U165:U168"/>
    <mergeCell ref="V165:V168"/>
    <mergeCell ref="W165:W168"/>
    <mergeCell ref="X165:X168"/>
    <mergeCell ref="M165:M168"/>
    <mergeCell ref="N165:N168"/>
    <mergeCell ref="O165:O168"/>
    <mergeCell ref="P165:P168"/>
    <mergeCell ref="Q165:Q168"/>
    <mergeCell ref="R165:R168"/>
    <mergeCell ref="Y169:Y172"/>
    <mergeCell ref="Z169:Z170"/>
    <mergeCell ref="AA169:AA170"/>
    <mergeCell ref="L171:L176"/>
    <mergeCell ref="Z171:Z172"/>
    <mergeCell ref="AA171:AA172"/>
    <mergeCell ref="R173:R176"/>
    <mergeCell ref="S173:S176"/>
    <mergeCell ref="T173:T176"/>
    <mergeCell ref="U173:U176"/>
    <mergeCell ref="S169:S172"/>
    <mergeCell ref="T169:T172"/>
    <mergeCell ref="U169:U172"/>
    <mergeCell ref="V169:V172"/>
    <mergeCell ref="W169:W172"/>
    <mergeCell ref="X169:X172"/>
    <mergeCell ref="Y165:Y168"/>
    <mergeCell ref="Z165:AA168"/>
    <mergeCell ref="A178:A189"/>
    <mergeCell ref="B178:C179"/>
    <mergeCell ref="D178:E179"/>
    <mergeCell ref="F178:I179"/>
    <mergeCell ref="J178:J189"/>
    <mergeCell ref="K178:K189"/>
    <mergeCell ref="B186:I189"/>
    <mergeCell ref="V173:V176"/>
    <mergeCell ref="W173:W176"/>
    <mergeCell ref="X173:X176"/>
    <mergeCell ref="Y173:Y176"/>
    <mergeCell ref="Z173:Z174"/>
    <mergeCell ref="AA173:AA174"/>
    <mergeCell ref="Z175:Z176"/>
    <mergeCell ref="AA175:AA176"/>
    <mergeCell ref="B173:I176"/>
    <mergeCell ref="M173:M176"/>
    <mergeCell ref="N173:N176"/>
    <mergeCell ref="O173:O176"/>
    <mergeCell ref="P173:P176"/>
    <mergeCell ref="Q173:Q176"/>
    <mergeCell ref="L184:L189"/>
    <mergeCell ref="Z184:Z185"/>
    <mergeCell ref="AA184:AA185"/>
    <mergeCell ref="M186:M189"/>
    <mergeCell ref="N186:N189"/>
    <mergeCell ref="O186:O189"/>
    <mergeCell ref="R182:R185"/>
    <mergeCell ref="S182:S185"/>
    <mergeCell ref="A165:A176"/>
    <mergeCell ref="B165:C166"/>
    <mergeCell ref="D165:I168"/>
    <mergeCell ref="X178:X181"/>
    <mergeCell ref="Y178:Y181"/>
    <mergeCell ref="Z178:AA181"/>
    <mergeCell ref="B180:C181"/>
    <mergeCell ref="D180:I181"/>
    <mergeCell ref="B182:I185"/>
    <mergeCell ref="M182:M185"/>
    <mergeCell ref="N182:N185"/>
    <mergeCell ref="O182:O185"/>
    <mergeCell ref="P182:P185"/>
    <mergeCell ref="R178:R181"/>
    <mergeCell ref="S178:S181"/>
    <mergeCell ref="T178:T181"/>
    <mergeCell ref="U178:U181"/>
    <mergeCell ref="V178:V181"/>
    <mergeCell ref="W178:W181"/>
    <mergeCell ref="L178:L183"/>
    <mergeCell ref="M178:M181"/>
    <mergeCell ref="N178:N181"/>
    <mergeCell ref="O178:O181"/>
    <mergeCell ref="P178:P181"/>
    <mergeCell ref="Q178:Q181"/>
    <mergeCell ref="Q182:Q185"/>
    <mergeCell ref="V186:V189"/>
    <mergeCell ref="W186:W189"/>
    <mergeCell ref="X186:X189"/>
    <mergeCell ref="Y186:Y189"/>
    <mergeCell ref="Z186:Z187"/>
    <mergeCell ref="AA186:AA187"/>
    <mergeCell ref="Z188:Z189"/>
    <mergeCell ref="AA188:AA189"/>
    <mergeCell ref="P186:P189"/>
    <mergeCell ref="Q186:Q189"/>
    <mergeCell ref="R186:R189"/>
    <mergeCell ref="S186:S189"/>
    <mergeCell ref="T186:T189"/>
    <mergeCell ref="U186:U189"/>
    <mergeCell ref="X182:X185"/>
    <mergeCell ref="Y182:Y185"/>
    <mergeCell ref="Z182:Z183"/>
    <mergeCell ref="AA182:AA183"/>
    <mergeCell ref="T182:T185"/>
    <mergeCell ref="U182:U185"/>
    <mergeCell ref="V182:V185"/>
    <mergeCell ref="W182:W185"/>
    <mergeCell ref="B193:C194"/>
    <mergeCell ref="D193:E194"/>
    <mergeCell ref="F193:I194"/>
    <mergeCell ref="R191:R194"/>
    <mergeCell ref="S191:S194"/>
    <mergeCell ref="T191:T194"/>
    <mergeCell ref="U191:U194"/>
    <mergeCell ref="V191:V194"/>
    <mergeCell ref="W191:W194"/>
    <mergeCell ref="L191:L196"/>
    <mergeCell ref="M191:M194"/>
    <mergeCell ref="N191:N194"/>
    <mergeCell ref="O191:O194"/>
    <mergeCell ref="P191:P194"/>
    <mergeCell ref="Q191:Q194"/>
    <mergeCell ref="M195:M198"/>
    <mergeCell ref="N195:N198"/>
    <mergeCell ref="O195:O198"/>
    <mergeCell ref="P195:P198"/>
    <mergeCell ref="B191:C192"/>
    <mergeCell ref="D191:E192"/>
    <mergeCell ref="F191:I192"/>
    <mergeCell ref="J191:J202"/>
    <mergeCell ref="K191:K202"/>
    <mergeCell ref="B195:I198"/>
    <mergeCell ref="B199:I202"/>
    <mergeCell ref="W195:W198"/>
    <mergeCell ref="X195:X198"/>
    <mergeCell ref="Y195:Y198"/>
    <mergeCell ref="Z195:Z196"/>
    <mergeCell ref="AA195:AA196"/>
    <mergeCell ref="L197:L202"/>
    <mergeCell ref="Z197:Z198"/>
    <mergeCell ref="AA197:AA198"/>
    <mergeCell ref="M199:M202"/>
    <mergeCell ref="N199:N202"/>
    <mergeCell ref="Q195:Q198"/>
    <mergeCell ref="R195:R198"/>
    <mergeCell ref="S195:S198"/>
    <mergeCell ref="T195:T198"/>
    <mergeCell ref="U195:U198"/>
    <mergeCell ref="V195:V198"/>
    <mergeCell ref="X191:X194"/>
    <mergeCell ref="Y191:Y194"/>
    <mergeCell ref="Z191:AA194"/>
    <mergeCell ref="AA199:AA200"/>
    <mergeCell ref="Z201:Z202"/>
    <mergeCell ref="AA201:AA202"/>
    <mergeCell ref="A204:A211"/>
    <mergeCell ref="B204:C204"/>
    <mergeCell ref="D204:E204"/>
    <mergeCell ref="F204:I204"/>
    <mergeCell ref="J204:J211"/>
    <mergeCell ref="K204:K211"/>
    <mergeCell ref="L204:L208"/>
    <mergeCell ref="U199:U202"/>
    <mergeCell ref="V199:V202"/>
    <mergeCell ref="W199:W202"/>
    <mergeCell ref="X199:X202"/>
    <mergeCell ref="Y199:Y202"/>
    <mergeCell ref="Z199:Z200"/>
    <mergeCell ref="O199:O202"/>
    <mergeCell ref="P199:P202"/>
    <mergeCell ref="Q199:Q202"/>
    <mergeCell ref="R199:R202"/>
    <mergeCell ref="S199:S202"/>
    <mergeCell ref="T199:T202"/>
    <mergeCell ref="A191:A202"/>
    <mergeCell ref="Y204:Y207"/>
    <mergeCell ref="Z204:AA207"/>
    <mergeCell ref="B205:C205"/>
    <mergeCell ref="D205:E205"/>
    <mergeCell ref="F205:I205"/>
    <mergeCell ref="B206:I207"/>
    <mergeCell ref="S204:S207"/>
    <mergeCell ref="T204:T207"/>
    <mergeCell ref="U204:U207"/>
    <mergeCell ref="V204:V207"/>
    <mergeCell ref="W204:W207"/>
    <mergeCell ref="X204:X207"/>
    <mergeCell ref="M204:M207"/>
    <mergeCell ref="N204:N207"/>
    <mergeCell ref="O204:O207"/>
    <mergeCell ref="P204:P207"/>
    <mergeCell ref="Q204:Q207"/>
    <mergeCell ref="R204:R207"/>
    <mergeCell ref="A213:A220"/>
    <mergeCell ref="B213:C213"/>
    <mergeCell ref="D213:E213"/>
    <mergeCell ref="F213:I213"/>
    <mergeCell ref="J213:J220"/>
    <mergeCell ref="K213:K220"/>
    <mergeCell ref="B217:I220"/>
    <mergeCell ref="X208:X211"/>
    <mergeCell ref="Y208:Y211"/>
    <mergeCell ref="Z208:Z209"/>
    <mergeCell ref="AA208:AA209"/>
    <mergeCell ref="L209:L211"/>
    <mergeCell ref="Z210:Z211"/>
    <mergeCell ref="AA210:AA211"/>
    <mergeCell ref="R208:R211"/>
    <mergeCell ref="S208:S211"/>
    <mergeCell ref="T208:T211"/>
    <mergeCell ref="U208:U211"/>
    <mergeCell ref="V208:V211"/>
    <mergeCell ref="W208:W211"/>
    <mergeCell ref="B208:I211"/>
    <mergeCell ref="M208:M211"/>
    <mergeCell ref="N208:N211"/>
    <mergeCell ref="O208:O211"/>
    <mergeCell ref="P208:P211"/>
    <mergeCell ref="Q208:Q211"/>
    <mergeCell ref="B214:C214"/>
    <mergeCell ref="D214:E214"/>
    <mergeCell ref="F214:I214"/>
    <mergeCell ref="B215:I216"/>
    <mergeCell ref="R213:R216"/>
    <mergeCell ref="S213:S216"/>
    <mergeCell ref="T213:T216"/>
    <mergeCell ref="U213:U216"/>
    <mergeCell ref="V213:V216"/>
    <mergeCell ref="W213:W216"/>
    <mergeCell ref="L213:L217"/>
    <mergeCell ref="M213:M216"/>
    <mergeCell ref="N213:N216"/>
    <mergeCell ref="O213:O216"/>
    <mergeCell ref="P213:P216"/>
    <mergeCell ref="Q213:Q216"/>
    <mergeCell ref="M217:M220"/>
    <mergeCell ref="N217:N220"/>
    <mergeCell ref="O217:O220"/>
    <mergeCell ref="P217:P220"/>
    <mergeCell ref="W217:W220"/>
    <mergeCell ref="X217:X220"/>
    <mergeCell ref="Y217:Y220"/>
    <mergeCell ref="Z217:Z218"/>
    <mergeCell ref="AA217:AA218"/>
    <mergeCell ref="L218:L220"/>
    <mergeCell ref="Z219:Z220"/>
    <mergeCell ref="AA219:AA220"/>
    <mergeCell ref="Q217:Q220"/>
    <mergeCell ref="R217:R220"/>
    <mergeCell ref="S217:S220"/>
    <mergeCell ref="T217:T220"/>
    <mergeCell ref="U217:U220"/>
    <mergeCell ref="V217:V220"/>
    <mergeCell ref="X213:X216"/>
    <mergeCell ref="Y213:Y216"/>
    <mergeCell ref="Z213:AA216"/>
    <mergeCell ref="B224:C225"/>
    <mergeCell ref="D224:E225"/>
    <mergeCell ref="F224:I225"/>
    <mergeCell ref="R222:R225"/>
    <mergeCell ref="S222:S225"/>
    <mergeCell ref="T222:T225"/>
    <mergeCell ref="U222:U225"/>
    <mergeCell ref="V222:V225"/>
    <mergeCell ref="W222:W225"/>
    <mergeCell ref="L222:L227"/>
    <mergeCell ref="M222:M225"/>
    <mergeCell ref="N222:N225"/>
    <mergeCell ref="O222:O225"/>
    <mergeCell ref="P222:P225"/>
    <mergeCell ref="Q222:Q225"/>
    <mergeCell ref="M226:M229"/>
    <mergeCell ref="Y226:Y229"/>
    <mergeCell ref="Z226:Z227"/>
    <mergeCell ref="AA226:AA227"/>
    <mergeCell ref="L228:L233"/>
    <mergeCell ref="Z228:Z229"/>
    <mergeCell ref="AA228:AA229"/>
    <mergeCell ref="M230:M233"/>
    <mergeCell ref="N230:N233"/>
    <mergeCell ref="Q226:Q229"/>
    <mergeCell ref="R226:R229"/>
    <mergeCell ref="S226:S229"/>
    <mergeCell ref="T226:T229"/>
    <mergeCell ref="U226:U229"/>
    <mergeCell ref="V226:V229"/>
    <mergeCell ref="X222:X225"/>
    <mergeCell ref="Y222:Y225"/>
    <mergeCell ref="Z222:AA225"/>
    <mergeCell ref="AA230:AA231"/>
    <mergeCell ref="Z232:Z233"/>
    <mergeCell ref="AA232:AA233"/>
    <mergeCell ref="U230:U233"/>
    <mergeCell ref="V230:V233"/>
    <mergeCell ref="W230:W233"/>
    <mergeCell ref="X230:X233"/>
    <mergeCell ref="Y230:Y233"/>
    <mergeCell ref="Z230:Z231"/>
    <mergeCell ref="O230:O233"/>
    <mergeCell ref="A222:A233"/>
    <mergeCell ref="B237:C238"/>
    <mergeCell ref="D237:E238"/>
    <mergeCell ref="F237:I238"/>
    <mergeCell ref="B239:I242"/>
    <mergeCell ref="M239:M242"/>
    <mergeCell ref="N239:N242"/>
    <mergeCell ref="O239:O242"/>
    <mergeCell ref="P239:P242"/>
    <mergeCell ref="S235:S238"/>
    <mergeCell ref="T235:T238"/>
    <mergeCell ref="U235:U238"/>
    <mergeCell ref="K222:K233"/>
    <mergeCell ref="B226:I229"/>
    <mergeCell ref="B230:I233"/>
    <mergeCell ref="W226:W229"/>
    <mergeCell ref="X226:X229"/>
    <mergeCell ref="N226:N229"/>
    <mergeCell ref="O226:O229"/>
    <mergeCell ref="P226:P229"/>
    <mergeCell ref="B222:C223"/>
    <mergeCell ref="D222:E223"/>
    <mergeCell ref="F222:I223"/>
    <mergeCell ref="J222:J233"/>
    <mergeCell ref="W235:W238"/>
    <mergeCell ref="X235:X238"/>
    <mergeCell ref="M235:M238"/>
    <mergeCell ref="N235:N238"/>
    <mergeCell ref="O235:O238"/>
    <mergeCell ref="P235:P238"/>
    <mergeCell ref="Q235:Q238"/>
    <mergeCell ref="R235:R238"/>
    <mergeCell ref="W239:W242"/>
    <mergeCell ref="X239:X242"/>
    <mergeCell ref="P230:P233"/>
    <mergeCell ref="Q230:Q233"/>
    <mergeCell ref="R230:R233"/>
    <mergeCell ref="S230:S233"/>
    <mergeCell ref="T230:T233"/>
    <mergeCell ref="Y239:Y242"/>
    <mergeCell ref="Z239:Z240"/>
    <mergeCell ref="AA239:AA240"/>
    <mergeCell ref="L241:L246"/>
    <mergeCell ref="Z241:Z242"/>
    <mergeCell ref="AA241:AA242"/>
    <mergeCell ref="R243:R246"/>
    <mergeCell ref="S243:S246"/>
    <mergeCell ref="Q239:Q242"/>
    <mergeCell ref="R239:R242"/>
    <mergeCell ref="S239:S242"/>
    <mergeCell ref="T239:T242"/>
    <mergeCell ref="U239:U242"/>
    <mergeCell ref="V239:V242"/>
    <mergeCell ref="Y235:Y238"/>
    <mergeCell ref="Z235:AA238"/>
    <mergeCell ref="Z243:Z244"/>
    <mergeCell ref="AA243:AA244"/>
    <mergeCell ref="Z245:Z246"/>
    <mergeCell ref="AA245:AA246"/>
    <mergeCell ref="L235:L240"/>
    <mergeCell ref="V235:V238"/>
    <mergeCell ref="A248:A259"/>
    <mergeCell ref="B248:C249"/>
    <mergeCell ref="D248:E249"/>
    <mergeCell ref="F248:I249"/>
    <mergeCell ref="J248:J259"/>
    <mergeCell ref="K248:K259"/>
    <mergeCell ref="T243:T246"/>
    <mergeCell ref="U243:U246"/>
    <mergeCell ref="V243:V246"/>
    <mergeCell ref="W243:W246"/>
    <mergeCell ref="X243:X246"/>
    <mergeCell ref="Y243:Y246"/>
    <mergeCell ref="B243:I246"/>
    <mergeCell ref="M243:M246"/>
    <mergeCell ref="N243:N246"/>
    <mergeCell ref="O243:O246"/>
    <mergeCell ref="P243:P246"/>
    <mergeCell ref="Q243:Q246"/>
    <mergeCell ref="X248:X251"/>
    <mergeCell ref="Y248:Y251"/>
    <mergeCell ref="B252:I255"/>
    <mergeCell ref="M252:M255"/>
    <mergeCell ref="N252:N255"/>
    <mergeCell ref="O252:O255"/>
    <mergeCell ref="P252:P255"/>
    <mergeCell ref="Q252:Q255"/>
    <mergeCell ref="A235:A246"/>
    <mergeCell ref="B235:C236"/>
    <mergeCell ref="D235:E236"/>
    <mergeCell ref="F235:I236"/>
    <mergeCell ref="J235:J246"/>
    <mergeCell ref="K235:K246"/>
    <mergeCell ref="Z248:AA251"/>
    <mergeCell ref="B250:C251"/>
    <mergeCell ref="D250:E251"/>
    <mergeCell ref="F250:I251"/>
    <mergeCell ref="R248:R251"/>
    <mergeCell ref="S248:S251"/>
    <mergeCell ref="T248:T251"/>
    <mergeCell ref="U248:U251"/>
    <mergeCell ref="V248:V251"/>
    <mergeCell ref="W248:W251"/>
    <mergeCell ref="L248:L253"/>
    <mergeCell ref="M248:M251"/>
    <mergeCell ref="N248:N251"/>
    <mergeCell ref="O248:O251"/>
    <mergeCell ref="P248:P251"/>
    <mergeCell ref="Q248:Q251"/>
    <mergeCell ref="X252:X255"/>
    <mergeCell ref="Y252:Y255"/>
    <mergeCell ref="Z252:Z253"/>
    <mergeCell ref="AA252:AA253"/>
    <mergeCell ref="L254:L259"/>
    <mergeCell ref="Z254:Z255"/>
    <mergeCell ref="AA254:AA255"/>
    <mergeCell ref="R256:R259"/>
    <mergeCell ref="S256:S259"/>
    <mergeCell ref="T256:T259"/>
    <mergeCell ref="R252:R255"/>
    <mergeCell ref="S252:S255"/>
    <mergeCell ref="T252:T255"/>
    <mergeCell ref="U252:U255"/>
    <mergeCell ref="V252:V255"/>
    <mergeCell ref="W252:W255"/>
    <mergeCell ref="AA256:AA257"/>
    <mergeCell ref="Z258:Z259"/>
    <mergeCell ref="AA258:AA259"/>
    <mergeCell ref="A261:A272"/>
    <mergeCell ref="B261:C262"/>
    <mergeCell ref="D261:E262"/>
    <mergeCell ref="F261:I262"/>
    <mergeCell ref="J261:J272"/>
    <mergeCell ref="K261:K272"/>
    <mergeCell ref="L261:L266"/>
    <mergeCell ref="U256:U259"/>
    <mergeCell ref="V256:V259"/>
    <mergeCell ref="W256:W259"/>
    <mergeCell ref="X256:X259"/>
    <mergeCell ref="Y256:Y259"/>
    <mergeCell ref="Z256:Z257"/>
    <mergeCell ref="B256:I259"/>
    <mergeCell ref="M256:M259"/>
    <mergeCell ref="N256:N259"/>
    <mergeCell ref="O256:O259"/>
    <mergeCell ref="P256:P259"/>
    <mergeCell ref="Q256:Q259"/>
    <mergeCell ref="B263:C264"/>
    <mergeCell ref="D263:E264"/>
    <mergeCell ref="F263:I264"/>
    <mergeCell ref="B265:I268"/>
    <mergeCell ref="M265:M268"/>
    <mergeCell ref="N265:N268"/>
    <mergeCell ref="O265:O268"/>
    <mergeCell ref="P265:P268"/>
    <mergeCell ref="S261:S264"/>
    <mergeCell ref="T261:T264"/>
    <mergeCell ref="U261:U264"/>
    <mergeCell ref="V261:V264"/>
    <mergeCell ref="W261:W264"/>
    <mergeCell ref="X261:X264"/>
    <mergeCell ref="M261:M264"/>
    <mergeCell ref="N261:N264"/>
    <mergeCell ref="O261:O264"/>
    <mergeCell ref="P261:P264"/>
    <mergeCell ref="Q261:Q264"/>
    <mergeCell ref="R261:R264"/>
    <mergeCell ref="W265:W268"/>
    <mergeCell ref="X265:X268"/>
    <mergeCell ref="Y265:Y268"/>
    <mergeCell ref="Z265:Z266"/>
    <mergeCell ref="AA265:AA266"/>
    <mergeCell ref="L267:L272"/>
    <mergeCell ref="Z267:Z268"/>
    <mergeCell ref="AA267:AA268"/>
    <mergeCell ref="R269:R272"/>
    <mergeCell ref="S269:S272"/>
    <mergeCell ref="Q265:Q268"/>
    <mergeCell ref="R265:R268"/>
    <mergeCell ref="S265:S268"/>
    <mergeCell ref="T265:T268"/>
    <mergeCell ref="U265:U268"/>
    <mergeCell ref="V265:V268"/>
    <mergeCell ref="Y261:Y264"/>
    <mergeCell ref="Z261:AA264"/>
    <mergeCell ref="Z269:Z270"/>
    <mergeCell ref="AA269:AA270"/>
    <mergeCell ref="Z271:Z272"/>
    <mergeCell ref="AA271:AA272"/>
    <mergeCell ref="A274:A285"/>
    <mergeCell ref="B274:C275"/>
    <mergeCell ref="D274:E275"/>
    <mergeCell ref="F274:I275"/>
    <mergeCell ref="J274:J285"/>
    <mergeCell ref="K274:K285"/>
    <mergeCell ref="T269:T272"/>
    <mergeCell ref="U269:U272"/>
    <mergeCell ref="V269:V272"/>
    <mergeCell ref="W269:W272"/>
    <mergeCell ref="X269:X272"/>
    <mergeCell ref="Y269:Y272"/>
    <mergeCell ref="B269:I272"/>
    <mergeCell ref="M269:M272"/>
    <mergeCell ref="N269:N272"/>
    <mergeCell ref="O269:O272"/>
    <mergeCell ref="P269:P272"/>
    <mergeCell ref="Q269:Q272"/>
    <mergeCell ref="X274:X277"/>
    <mergeCell ref="Y274:Y277"/>
    <mergeCell ref="B278:I281"/>
    <mergeCell ref="M278:M281"/>
    <mergeCell ref="N278:N281"/>
    <mergeCell ref="O278:O281"/>
    <mergeCell ref="P278:P281"/>
    <mergeCell ref="Q278:Q281"/>
    <mergeCell ref="Z274:AA277"/>
    <mergeCell ref="B276:C277"/>
    <mergeCell ref="D276:E277"/>
    <mergeCell ref="F276:I277"/>
    <mergeCell ref="R274:R277"/>
    <mergeCell ref="S274:S277"/>
    <mergeCell ref="T274:T277"/>
    <mergeCell ref="U274:U277"/>
    <mergeCell ref="V274:V277"/>
    <mergeCell ref="W274:W277"/>
    <mergeCell ref="L274:L279"/>
    <mergeCell ref="M274:M277"/>
    <mergeCell ref="N274:N277"/>
    <mergeCell ref="O274:O277"/>
    <mergeCell ref="P274:P277"/>
    <mergeCell ref="Q274:Q277"/>
    <mergeCell ref="X278:X281"/>
    <mergeCell ref="Y278:Y281"/>
    <mergeCell ref="Z278:Z279"/>
    <mergeCell ref="AA278:AA279"/>
    <mergeCell ref="L280:L285"/>
    <mergeCell ref="Z280:Z281"/>
    <mergeCell ref="AA280:AA281"/>
    <mergeCell ref="R282:R285"/>
    <mergeCell ref="S282:S285"/>
    <mergeCell ref="T282:T285"/>
    <mergeCell ref="R278:R281"/>
    <mergeCell ref="S278:S281"/>
    <mergeCell ref="T278:T281"/>
    <mergeCell ref="U278:U281"/>
    <mergeCell ref="V278:V281"/>
    <mergeCell ref="W278:W281"/>
    <mergeCell ref="AA282:AA283"/>
    <mergeCell ref="Z284:Z285"/>
    <mergeCell ref="AA284:AA285"/>
    <mergeCell ref="A287:A294"/>
    <mergeCell ref="B287:C287"/>
    <mergeCell ref="D287:E287"/>
    <mergeCell ref="F287:I287"/>
    <mergeCell ref="J287:J294"/>
    <mergeCell ref="K287:K294"/>
    <mergeCell ref="L287:L291"/>
    <mergeCell ref="U282:U285"/>
    <mergeCell ref="V282:V285"/>
    <mergeCell ref="W282:W285"/>
    <mergeCell ref="X282:X285"/>
    <mergeCell ref="Y282:Y285"/>
    <mergeCell ref="Z282:Z283"/>
    <mergeCell ref="B282:I285"/>
    <mergeCell ref="M282:M285"/>
    <mergeCell ref="N282:N285"/>
    <mergeCell ref="O282:O285"/>
    <mergeCell ref="P282:P285"/>
    <mergeCell ref="Q282:Q285"/>
    <mergeCell ref="Y287:Y290"/>
    <mergeCell ref="Z287:AA290"/>
    <mergeCell ref="B288:C288"/>
    <mergeCell ref="D288:E288"/>
    <mergeCell ref="F288:I288"/>
    <mergeCell ref="B289:I290"/>
    <mergeCell ref="S287:S290"/>
    <mergeCell ref="T287:T290"/>
    <mergeCell ref="U287:U290"/>
    <mergeCell ref="V287:V290"/>
    <mergeCell ref="W287:W290"/>
    <mergeCell ref="X287:X290"/>
    <mergeCell ref="M287:M290"/>
    <mergeCell ref="N287:N290"/>
    <mergeCell ref="O287:O290"/>
    <mergeCell ref="P287:P290"/>
    <mergeCell ref="Q287:Q290"/>
    <mergeCell ref="R287:R290"/>
    <mergeCell ref="X291:X294"/>
    <mergeCell ref="Y291:Y294"/>
    <mergeCell ref="Z291:Z292"/>
    <mergeCell ref="AA291:AA292"/>
    <mergeCell ref="L292:L294"/>
    <mergeCell ref="Z293:Z294"/>
    <mergeCell ref="AA293:AA294"/>
    <mergeCell ref="R291:R294"/>
    <mergeCell ref="S291:S294"/>
    <mergeCell ref="T291:T294"/>
    <mergeCell ref="U291:U294"/>
    <mergeCell ref="V291:V294"/>
    <mergeCell ref="W291:W294"/>
    <mergeCell ref="B291:I294"/>
    <mergeCell ref="M291:M294"/>
    <mergeCell ref="N291:N294"/>
    <mergeCell ref="O291:O294"/>
    <mergeCell ref="P291:P294"/>
    <mergeCell ref="Q291:Q294"/>
    <mergeCell ref="W296:W299"/>
    <mergeCell ref="X296:X299"/>
    <mergeCell ref="Y296:Y299"/>
    <mergeCell ref="Z296:AA307"/>
    <mergeCell ref="M300:M303"/>
    <mergeCell ref="N300:N303"/>
    <mergeCell ref="O300:O303"/>
    <mergeCell ref="P300:P303"/>
    <mergeCell ref="Q300:Q303"/>
    <mergeCell ref="R300:R303"/>
    <mergeCell ref="Q296:Q299"/>
    <mergeCell ref="R296:R299"/>
    <mergeCell ref="S296:S299"/>
    <mergeCell ref="T296:T299"/>
    <mergeCell ref="U296:U299"/>
    <mergeCell ref="V296:V299"/>
    <mergeCell ref="A296:K307"/>
    <mergeCell ref="L296:L303"/>
    <mergeCell ref="M296:M299"/>
    <mergeCell ref="N296:N299"/>
    <mergeCell ref="O296:O299"/>
    <mergeCell ref="P296:P299"/>
    <mergeCell ref="U304:U307"/>
    <mergeCell ref="V304:V307"/>
    <mergeCell ref="W304:W307"/>
    <mergeCell ref="X304:X307"/>
    <mergeCell ref="Y304:Y307"/>
    <mergeCell ref="Y300:Y303"/>
    <mergeCell ref="L304:L307"/>
    <mergeCell ref="M304:M307"/>
    <mergeCell ref="N304:N307"/>
    <mergeCell ref="O304:O307"/>
    <mergeCell ref="P304:P307"/>
    <mergeCell ref="Q304:Q307"/>
    <mergeCell ref="R304:R307"/>
    <mergeCell ref="S304:S307"/>
    <mergeCell ref="T304:T307"/>
    <mergeCell ref="S300:S303"/>
    <mergeCell ref="T300:T303"/>
    <mergeCell ref="U300:U303"/>
    <mergeCell ref="V300:V303"/>
    <mergeCell ref="W300:W303"/>
    <mergeCell ref="X300:X30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W141"/>
  <sheetViews>
    <sheetView view="pageBreakPreview" topLeftCell="A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5"/>
      <c r="N1" s="195"/>
      <c r="O1" s="195"/>
      <c r="P1" s="195"/>
      <c r="Q1" s="195"/>
      <c r="R1" s="195"/>
      <c r="S1" s="195"/>
      <c r="T1" s="195"/>
      <c r="U1" s="1310" t="s">
        <v>249</v>
      </c>
      <c r="V1" s="1310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ht="21.75">
      <c r="A3" s="1392" t="s">
        <v>136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92"/>
      <c r="N3" s="1392"/>
      <c r="O3" s="1392"/>
      <c r="P3" s="1392"/>
      <c r="Q3" s="1392"/>
      <c r="R3" s="1392"/>
      <c r="S3" s="1392"/>
      <c r="T3" s="1392"/>
      <c r="U3" s="1392"/>
      <c r="V3" s="1392"/>
    </row>
    <row r="4" spans="1:22" ht="52.5" customHeight="1">
      <c r="A4" s="1393" t="s">
        <v>137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394" t="s">
        <v>138</v>
      </c>
      <c r="B6" s="1398" t="s">
        <v>101</v>
      </c>
      <c r="C6" s="1399"/>
      <c r="D6" s="1399" t="s">
        <v>102</v>
      </c>
      <c r="E6" s="1399"/>
      <c r="F6" s="1399" t="s">
        <v>103</v>
      </c>
      <c r="G6" s="1399"/>
      <c r="H6" s="1399"/>
      <c r="I6" s="1399"/>
      <c r="J6" s="1402" t="s">
        <v>104</v>
      </c>
      <c r="K6" s="1403"/>
      <c r="L6" s="1408" t="s">
        <v>105</v>
      </c>
      <c r="M6" s="1402" t="s">
        <v>106</v>
      </c>
      <c r="N6" s="1410"/>
      <c r="O6" s="1410"/>
      <c r="P6" s="1411"/>
      <c r="Q6" s="1411"/>
      <c r="R6" s="1411"/>
      <c r="S6" s="1411"/>
      <c r="T6" s="1411"/>
      <c r="U6" s="1411"/>
      <c r="V6" s="1412"/>
    </row>
    <row r="7" spans="1:22">
      <c r="A7" s="1395"/>
      <c r="B7" s="1400"/>
      <c r="C7" s="1401"/>
      <c r="D7" s="1401"/>
      <c r="E7" s="1401"/>
      <c r="F7" s="1401"/>
      <c r="G7" s="1401"/>
      <c r="H7" s="1401"/>
      <c r="I7" s="1401"/>
      <c r="J7" s="1404"/>
      <c r="K7" s="1405"/>
      <c r="L7" s="1409"/>
      <c r="M7" s="1413"/>
      <c r="N7" s="1414"/>
      <c r="O7" s="1414"/>
      <c r="P7" s="1414"/>
      <c r="Q7" s="1414"/>
      <c r="R7" s="1414"/>
      <c r="S7" s="1414"/>
      <c r="T7" s="1414"/>
      <c r="U7" s="1414"/>
      <c r="V7" s="1415"/>
    </row>
    <row r="8" spans="1:22">
      <c r="A8" s="1395"/>
      <c r="B8" s="1396" t="s">
        <v>107</v>
      </c>
      <c r="C8" s="1426"/>
      <c r="D8" s="1428" t="s">
        <v>108</v>
      </c>
      <c r="E8" s="1426"/>
      <c r="F8" s="1428" t="s">
        <v>109</v>
      </c>
      <c r="G8" s="1429"/>
      <c r="H8" s="1429"/>
      <c r="I8" s="1426"/>
      <c r="J8" s="1404"/>
      <c r="K8" s="1405"/>
      <c r="L8" s="1409"/>
      <c r="M8" s="1416"/>
      <c r="N8" s="1417"/>
      <c r="O8" s="1417"/>
      <c r="P8" s="1417"/>
      <c r="Q8" s="1417"/>
      <c r="R8" s="1417"/>
      <c r="S8" s="1417"/>
      <c r="T8" s="1417"/>
      <c r="U8" s="1417"/>
      <c r="V8" s="1418"/>
    </row>
    <row r="9" spans="1:22">
      <c r="A9" s="1395"/>
      <c r="B9" s="1427"/>
      <c r="C9" s="1407"/>
      <c r="D9" s="1406"/>
      <c r="E9" s="1407"/>
      <c r="F9" s="1406"/>
      <c r="G9" s="1430"/>
      <c r="H9" s="1430"/>
      <c r="I9" s="1407"/>
      <c r="J9" s="1404"/>
      <c r="K9" s="1405"/>
      <c r="L9" s="1409"/>
      <c r="M9" s="1388" t="s">
        <v>139</v>
      </c>
      <c r="N9" s="1388" t="s">
        <v>111</v>
      </c>
      <c r="O9" s="1388" t="s">
        <v>112</v>
      </c>
      <c r="P9" s="1388">
        <v>2012</v>
      </c>
      <c r="Q9" s="1388">
        <v>2013</v>
      </c>
      <c r="R9" s="1388">
        <v>2014</v>
      </c>
      <c r="S9" s="1419" t="s">
        <v>140</v>
      </c>
      <c r="T9" s="1419">
        <v>2020</v>
      </c>
      <c r="U9" s="1419" t="s">
        <v>113</v>
      </c>
      <c r="V9" s="1422"/>
    </row>
    <row r="10" spans="1:22">
      <c r="A10" s="1396"/>
      <c r="B10" s="1396" t="s">
        <v>114</v>
      </c>
      <c r="C10" s="1429"/>
      <c r="D10" s="1429"/>
      <c r="E10" s="1429"/>
      <c r="F10" s="1429"/>
      <c r="G10" s="1429"/>
      <c r="H10" s="1429"/>
      <c r="I10" s="1426"/>
      <c r="J10" s="1404"/>
      <c r="K10" s="1405"/>
      <c r="L10" s="1409"/>
      <c r="M10" s="1431"/>
      <c r="N10" s="1389"/>
      <c r="O10" s="1389"/>
      <c r="P10" s="1389"/>
      <c r="Q10" s="1389"/>
      <c r="R10" s="1389"/>
      <c r="S10" s="1420"/>
      <c r="T10" s="1420"/>
      <c r="U10" s="1420"/>
      <c r="V10" s="1423"/>
    </row>
    <row r="11" spans="1:22">
      <c r="A11" s="1396"/>
      <c r="B11" s="1432"/>
      <c r="C11" s="1433"/>
      <c r="D11" s="1433"/>
      <c r="E11" s="1433"/>
      <c r="F11" s="1433"/>
      <c r="G11" s="1433"/>
      <c r="H11" s="1433"/>
      <c r="I11" s="1405"/>
      <c r="J11" s="1406"/>
      <c r="K11" s="1407"/>
      <c r="L11" s="1409"/>
      <c r="M11" s="1431"/>
      <c r="N11" s="1389"/>
      <c r="O11" s="1389"/>
      <c r="P11" s="1389"/>
      <c r="Q11" s="1389"/>
      <c r="R11" s="1389"/>
      <c r="S11" s="1420"/>
      <c r="T11" s="1420"/>
      <c r="U11" s="1420"/>
      <c r="V11" s="1423"/>
    </row>
    <row r="12" spans="1:22">
      <c r="A12" s="1396"/>
      <c r="B12" s="1432"/>
      <c r="C12" s="1433"/>
      <c r="D12" s="1433"/>
      <c r="E12" s="1433"/>
      <c r="F12" s="1433"/>
      <c r="G12" s="1433"/>
      <c r="H12" s="1433"/>
      <c r="I12" s="1405"/>
      <c r="J12" s="1434" t="s">
        <v>115</v>
      </c>
      <c r="K12" s="1434" t="s">
        <v>116</v>
      </c>
      <c r="L12" s="1401" t="s">
        <v>117</v>
      </c>
      <c r="M12" s="1431"/>
      <c r="N12" s="1389"/>
      <c r="O12" s="1389"/>
      <c r="P12" s="1389"/>
      <c r="Q12" s="1389"/>
      <c r="R12" s="1389"/>
      <c r="S12" s="1420"/>
      <c r="T12" s="1420"/>
      <c r="U12" s="1420"/>
      <c r="V12" s="1423"/>
    </row>
    <row r="13" spans="1:22">
      <c r="A13" s="1396"/>
      <c r="B13" s="1427"/>
      <c r="C13" s="1430"/>
      <c r="D13" s="1430"/>
      <c r="E13" s="1430"/>
      <c r="F13" s="1430"/>
      <c r="G13" s="1430"/>
      <c r="H13" s="1430"/>
      <c r="I13" s="1407"/>
      <c r="J13" s="1434"/>
      <c r="K13" s="1434"/>
      <c r="L13" s="1401"/>
      <c r="M13" s="1431"/>
      <c r="N13" s="1389"/>
      <c r="O13" s="1389"/>
      <c r="P13" s="1389"/>
      <c r="Q13" s="1389"/>
      <c r="R13" s="1389"/>
      <c r="S13" s="1420"/>
      <c r="T13" s="1420"/>
      <c r="U13" s="1420"/>
      <c r="V13" s="1423"/>
    </row>
    <row r="14" spans="1:22">
      <c r="A14" s="1396"/>
      <c r="B14" s="1396" t="s">
        <v>118</v>
      </c>
      <c r="C14" s="1429"/>
      <c r="D14" s="1429"/>
      <c r="E14" s="1429"/>
      <c r="F14" s="1429"/>
      <c r="G14" s="1429"/>
      <c r="H14" s="1429"/>
      <c r="I14" s="1426"/>
      <c r="J14" s="1434"/>
      <c r="K14" s="1434"/>
      <c r="L14" s="1401"/>
      <c r="M14" s="1431"/>
      <c r="N14" s="1389"/>
      <c r="O14" s="1389"/>
      <c r="P14" s="1389"/>
      <c r="Q14" s="1389"/>
      <c r="R14" s="1389"/>
      <c r="S14" s="1420"/>
      <c r="T14" s="1420"/>
      <c r="U14" s="1420"/>
      <c r="V14" s="1423"/>
    </row>
    <row r="15" spans="1:22">
      <c r="A15" s="1396"/>
      <c r="B15" s="1432"/>
      <c r="C15" s="1433"/>
      <c r="D15" s="1433"/>
      <c r="E15" s="1433"/>
      <c r="F15" s="1433"/>
      <c r="G15" s="1433"/>
      <c r="H15" s="1433"/>
      <c r="I15" s="1405"/>
      <c r="J15" s="1434"/>
      <c r="K15" s="1434"/>
      <c r="L15" s="1401"/>
      <c r="M15" s="1431"/>
      <c r="N15" s="1389"/>
      <c r="O15" s="1389"/>
      <c r="P15" s="1389"/>
      <c r="Q15" s="1389"/>
      <c r="R15" s="1389"/>
      <c r="S15" s="1420"/>
      <c r="T15" s="1420"/>
      <c r="U15" s="1420"/>
      <c r="V15" s="1423"/>
    </row>
    <row r="16" spans="1:22">
      <c r="A16" s="1396"/>
      <c r="B16" s="1432"/>
      <c r="C16" s="1433"/>
      <c r="D16" s="1433"/>
      <c r="E16" s="1433"/>
      <c r="F16" s="1433"/>
      <c r="G16" s="1433"/>
      <c r="H16" s="1433"/>
      <c r="I16" s="1405"/>
      <c r="J16" s="1434"/>
      <c r="K16" s="1434"/>
      <c r="L16" s="1401"/>
      <c r="M16" s="1431"/>
      <c r="N16" s="1389"/>
      <c r="O16" s="1389"/>
      <c r="P16" s="1389"/>
      <c r="Q16" s="1389"/>
      <c r="R16" s="1389"/>
      <c r="S16" s="1420"/>
      <c r="T16" s="1420"/>
      <c r="U16" s="1420"/>
      <c r="V16" s="1423"/>
    </row>
    <row r="17" spans="1:22" ht="13.5" thickBot="1">
      <c r="A17" s="1397"/>
      <c r="B17" s="1437"/>
      <c r="C17" s="1438"/>
      <c r="D17" s="1438"/>
      <c r="E17" s="1438"/>
      <c r="F17" s="1438"/>
      <c r="G17" s="1438"/>
      <c r="H17" s="1438"/>
      <c r="I17" s="1439"/>
      <c r="J17" s="1435"/>
      <c r="K17" s="1435"/>
      <c r="L17" s="1436"/>
      <c r="M17" s="1391"/>
      <c r="N17" s="1390"/>
      <c r="O17" s="1390"/>
      <c r="P17" s="1390"/>
      <c r="Q17" s="1391"/>
      <c r="R17" s="1391"/>
      <c r="S17" s="1421"/>
      <c r="T17" s="1421"/>
      <c r="U17" s="1424"/>
      <c r="V17" s="1425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302">
        <v>1</v>
      </c>
      <c r="B19" s="1306" t="s">
        <v>101</v>
      </c>
      <c r="C19" s="1307"/>
      <c r="D19" s="1307">
        <v>801</v>
      </c>
      <c r="E19" s="1307"/>
      <c r="F19" s="1357" t="s">
        <v>141</v>
      </c>
      <c r="G19" s="1357"/>
      <c r="H19" s="1357"/>
      <c r="I19" s="1357"/>
      <c r="J19" s="1358">
        <v>2010</v>
      </c>
      <c r="K19" s="1358">
        <v>2012</v>
      </c>
      <c r="L19" s="1347">
        <f>SUM(N19,L25)</f>
        <v>79012</v>
      </c>
      <c r="M19" s="1326" t="s">
        <v>120</v>
      </c>
      <c r="N19" s="1287">
        <f>SUM(N23:N30)</f>
        <v>16883</v>
      </c>
      <c r="O19" s="1329" t="s">
        <v>112</v>
      </c>
      <c r="P19" s="1287">
        <f>SUM(P23:P30)</f>
        <v>16883</v>
      </c>
      <c r="Q19" s="1287">
        <f t="shared" ref="Q19:T19" si="0">SUM(Q23:Q30)</f>
        <v>0</v>
      </c>
      <c r="R19" s="1287">
        <f t="shared" si="0"/>
        <v>0</v>
      </c>
      <c r="S19" s="1287">
        <f t="shared" si="0"/>
        <v>0</v>
      </c>
      <c r="T19" s="1287">
        <f t="shared" si="0"/>
        <v>0</v>
      </c>
      <c r="U19" s="1290">
        <f>SUM(V23:V30)</f>
        <v>16883</v>
      </c>
      <c r="V19" s="1291"/>
    </row>
    <row r="20" spans="1:22">
      <c r="A20" s="1303"/>
      <c r="B20" s="1308"/>
      <c r="C20" s="1309"/>
      <c r="D20" s="1309"/>
      <c r="E20" s="1309"/>
      <c r="F20" s="1345"/>
      <c r="G20" s="1345"/>
      <c r="H20" s="1345"/>
      <c r="I20" s="1345"/>
      <c r="J20" s="1359"/>
      <c r="K20" s="1359"/>
      <c r="L20" s="1348"/>
      <c r="M20" s="1327"/>
      <c r="N20" s="1288"/>
      <c r="O20" s="1281"/>
      <c r="P20" s="1288"/>
      <c r="Q20" s="1288"/>
      <c r="R20" s="1288"/>
      <c r="S20" s="1288"/>
      <c r="T20" s="1288"/>
      <c r="U20" s="1292"/>
      <c r="V20" s="1293"/>
    </row>
    <row r="21" spans="1:22">
      <c r="A21" s="1303"/>
      <c r="B21" s="1342" t="s">
        <v>107</v>
      </c>
      <c r="C21" s="1281"/>
      <c r="D21" s="1281">
        <v>80195</v>
      </c>
      <c r="E21" s="1281"/>
      <c r="F21" s="1345" t="s">
        <v>130</v>
      </c>
      <c r="G21" s="1345"/>
      <c r="H21" s="1345"/>
      <c r="I21" s="1345"/>
      <c r="J21" s="1359"/>
      <c r="K21" s="1359"/>
      <c r="L21" s="1348"/>
      <c r="M21" s="1327"/>
      <c r="N21" s="1288"/>
      <c r="O21" s="1281"/>
      <c r="P21" s="1288"/>
      <c r="Q21" s="1288"/>
      <c r="R21" s="1288"/>
      <c r="S21" s="1288"/>
      <c r="T21" s="1288"/>
      <c r="U21" s="1292"/>
      <c r="V21" s="1293"/>
    </row>
    <row r="22" spans="1:22">
      <c r="A22" s="1303"/>
      <c r="B22" s="1343"/>
      <c r="C22" s="1344"/>
      <c r="D22" s="1344"/>
      <c r="E22" s="1344"/>
      <c r="F22" s="1346"/>
      <c r="G22" s="1346"/>
      <c r="H22" s="1346"/>
      <c r="I22" s="1346"/>
      <c r="J22" s="1359"/>
      <c r="K22" s="1359"/>
      <c r="L22" s="1348"/>
      <c r="M22" s="1327"/>
      <c r="N22" s="1288"/>
      <c r="O22" s="1281"/>
      <c r="P22" s="1288"/>
      <c r="Q22" s="1288"/>
      <c r="R22" s="1288"/>
      <c r="S22" s="1288"/>
      <c r="T22" s="1288"/>
      <c r="U22" s="1294"/>
      <c r="V22" s="1295"/>
    </row>
    <row r="23" spans="1:22">
      <c r="A23" s="1304"/>
      <c r="B23" s="1304" t="s">
        <v>142</v>
      </c>
      <c r="C23" s="1349"/>
      <c r="D23" s="1349"/>
      <c r="E23" s="1349"/>
      <c r="F23" s="1349"/>
      <c r="G23" s="1349"/>
      <c r="H23" s="1349"/>
      <c r="I23" s="1350"/>
      <c r="J23" s="1360"/>
      <c r="K23" s="1359"/>
      <c r="L23" s="1348"/>
      <c r="M23" s="1336" t="s">
        <v>143</v>
      </c>
      <c r="N23" s="1299">
        <f>SUM(P23:T30)</f>
        <v>16883</v>
      </c>
      <c r="O23" s="1281" t="s">
        <v>112</v>
      </c>
      <c r="P23" s="1299">
        <v>16883</v>
      </c>
      <c r="Q23" s="1299"/>
      <c r="R23" s="1299"/>
      <c r="S23" s="1299"/>
      <c r="T23" s="1299"/>
      <c r="U23" s="1277" t="s">
        <v>144</v>
      </c>
      <c r="V23" s="1311">
        <f>P19</f>
        <v>16883</v>
      </c>
    </row>
    <row r="24" spans="1:22">
      <c r="A24" s="1304"/>
      <c r="B24" s="1351"/>
      <c r="C24" s="1352"/>
      <c r="D24" s="1352"/>
      <c r="E24" s="1352"/>
      <c r="F24" s="1352"/>
      <c r="G24" s="1352"/>
      <c r="H24" s="1352"/>
      <c r="I24" s="1353"/>
      <c r="J24" s="1360"/>
      <c r="K24" s="1359"/>
      <c r="L24" s="1348"/>
      <c r="M24" s="1337"/>
      <c r="N24" s="1300"/>
      <c r="O24" s="1281"/>
      <c r="P24" s="1300"/>
      <c r="Q24" s="1300"/>
      <c r="R24" s="1300"/>
      <c r="S24" s="1300"/>
      <c r="T24" s="1300"/>
      <c r="U24" s="1278"/>
      <c r="V24" s="1312"/>
    </row>
    <row r="25" spans="1:22">
      <c r="A25" s="1304"/>
      <c r="B25" s="1351"/>
      <c r="C25" s="1352"/>
      <c r="D25" s="1352"/>
      <c r="E25" s="1352"/>
      <c r="F25" s="1352"/>
      <c r="G25" s="1352"/>
      <c r="H25" s="1352"/>
      <c r="I25" s="1353"/>
      <c r="J25" s="1360"/>
      <c r="K25" s="1359"/>
      <c r="L25" s="1362">
        <v>62129</v>
      </c>
      <c r="M25" s="1337"/>
      <c r="N25" s="1300"/>
      <c r="O25" s="1281"/>
      <c r="P25" s="1300"/>
      <c r="Q25" s="1300"/>
      <c r="R25" s="1300"/>
      <c r="S25" s="1300"/>
      <c r="T25" s="1300"/>
      <c r="U25" s="1278" t="s">
        <v>145</v>
      </c>
      <c r="V25" s="1312">
        <f>Q19</f>
        <v>0</v>
      </c>
    </row>
    <row r="26" spans="1:22">
      <c r="A26" s="1304"/>
      <c r="B26" s="1354"/>
      <c r="C26" s="1355"/>
      <c r="D26" s="1355"/>
      <c r="E26" s="1355"/>
      <c r="F26" s="1355"/>
      <c r="G26" s="1355"/>
      <c r="H26" s="1355"/>
      <c r="I26" s="1356"/>
      <c r="J26" s="1360"/>
      <c r="K26" s="1359"/>
      <c r="L26" s="1362"/>
      <c r="M26" s="1337"/>
      <c r="N26" s="1300"/>
      <c r="O26" s="1281"/>
      <c r="P26" s="1300"/>
      <c r="Q26" s="1300"/>
      <c r="R26" s="1300"/>
      <c r="S26" s="1300"/>
      <c r="T26" s="1300"/>
      <c r="U26" s="1278"/>
      <c r="V26" s="1312"/>
    </row>
    <row r="27" spans="1:22">
      <c r="A27" s="1304"/>
      <c r="B27" s="1330" t="s">
        <v>146</v>
      </c>
      <c r="C27" s="1331"/>
      <c r="D27" s="1331"/>
      <c r="E27" s="1331"/>
      <c r="F27" s="1331"/>
      <c r="G27" s="1331"/>
      <c r="H27" s="1331"/>
      <c r="I27" s="1332"/>
      <c r="J27" s="1359"/>
      <c r="K27" s="1359"/>
      <c r="L27" s="1362"/>
      <c r="M27" s="1337"/>
      <c r="N27" s="1300"/>
      <c r="O27" s="1281"/>
      <c r="P27" s="1300"/>
      <c r="Q27" s="1300"/>
      <c r="R27" s="1300"/>
      <c r="S27" s="1300"/>
      <c r="T27" s="1300"/>
      <c r="U27" s="1274"/>
      <c r="V27" s="1273">
        <f>R19</f>
        <v>0</v>
      </c>
    </row>
    <row r="28" spans="1:22">
      <c r="A28" s="1304"/>
      <c r="B28" s="1330"/>
      <c r="C28" s="1331"/>
      <c r="D28" s="1331"/>
      <c r="E28" s="1331"/>
      <c r="F28" s="1331"/>
      <c r="G28" s="1331"/>
      <c r="H28" s="1331"/>
      <c r="I28" s="1332"/>
      <c r="J28" s="1359"/>
      <c r="K28" s="1359"/>
      <c r="L28" s="1362"/>
      <c r="M28" s="1337"/>
      <c r="N28" s="1300"/>
      <c r="O28" s="1281"/>
      <c r="P28" s="1300"/>
      <c r="Q28" s="1300"/>
      <c r="R28" s="1300"/>
      <c r="S28" s="1300"/>
      <c r="T28" s="1300"/>
      <c r="U28" s="1274"/>
      <c r="V28" s="1273"/>
    </row>
    <row r="29" spans="1:22">
      <c r="A29" s="1304"/>
      <c r="B29" s="1330"/>
      <c r="C29" s="1331"/>
      <c r="D29" s="1331"/>
      <c r="E29" s="1331"/>
      <c r="F29" s="1331"/>
      <c r="G29" s="1331"/>
      <c r="H29" s="1331"/>
      <c r="I29" s="1332"/>
      <c r="J29" s="1359"/>
      <c r="K29" s="1359"/>
      <c r="L29" s="1362"/>
      <c r="M29" s="1337"/>
      <c r="N29" s="1300"/>
      <c r="O29" s="1281"/>
      <c r="P29" s="1300"/>
      <c r="Q29" s="1300"/>
      <c r="R29" s="1300"/>
      <c r="S29" s="1300"/>
      <c r="T29" s="1300"/>
      <c r="U29" s="1274"/>
      <c r="V29" s="1273">
        <f>S19</f>
        <v>0</v>
      </c>
    </row>
    <row r="30" spans="1:22" ht="13.5" thickBot="1">
      <c r="A30" s="1305"/>
      <c r="B30" s="1333"/>
      <c r="C30" s="1334"/>
      <c r="D30" s="1334"/>
      <c r="E30" s="1334"/>
      <c r="F30" s="1334"/>
      <c r="G30" s="1334"/>
      <c r="H30" s="1334"/>
      <c r="I30" s="1335"/>
      <c r="J30" s="1361"/>
      <c r="K30" s="1361"/>
      <c r="L30" s="1363"/>
      <c r="M30" s="1338"/>
      <c r="N30" s="1296"/>
      <c r="O30" s="1339"/>
      <c r="P30" s="1296"/>
      <c r="Q30" s="1296"/>
      <c r="R30" s="1296"/>
      <c r="S30" s="1296"/>
      <c r="T30" s="1296"/>
      <c r="U30" s="1275"/>
      <c r="V30" s="1276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302">
        <v>2</v>
      </c>
      <c r="B32" s="1306" t="s">
        <v>101</v>
      </c>
      <c r="C32" s="1307"/>
      <c r="D32" s="1307">
        <v>801</v>
      </c>
      <c r="E32" s="1307"/>
      <c r="F32" s="1357" t="s">
        <v>141</v>
      </c>
      <c r="G32" s="1357"/>
      <c r="H32" s="1357"/>
      <c r="I32" s="1357"/>
      <c r="J32" s="1358">
        <v>2010</v>
      </c>
      <c r="K32" s="1358">
        <v>2012</v>
      </c>
      <c r="L32" s="1347">
        <f>SUM(N32,L38)</f>
        <v>463598</v>
      </c>
      <c r="M32" s="1326" t="s">
        <v>120</v>
      </c>
      <c r="N32" s="1287">
        <f>SUM(N36:N43)</f>
        <v>128413</v>
      </c>
      <c r="O32" s="1329" t="s">
        <v>112</v>
      </c>
      <c r="P32" s="1287">
        <f>SUM(P36:P43)</f>
        <v>128413</v>
      </c>
      <c r="Q32" s="1287">
        <f t="shared" ref="Q32:T32" si="1">SUM(Q36:Q43)</f>
        <v>0</v>
      </c>
      <c r="R32" s="1287">
        <f t="shared" si="1"/>
        <v>0</v>
      </c>
      <c r="S32" s="1287">
        <f t="shared" si="1"/>
        <v>0</v>
      </c>
      <c r="T32" s="1287">
        <f t="shared" si="1"/>
        <v>0</v>
      </c>
      <c r="U32" s="1290">
        <f>SUM(V36:V43)</f>
        <v>128413</v>
      </c>
      <c r="V32" s="1291"/>
    </row>
    <row r="33" spans="1:22">
      <c r="A33" s="1303"/>
      <c r="B33" s="1308"/>
      <c r="C33" s="1309"/>
      <c r="D33" s="1309"/>
      <c r="E33" s="1309"/>
      <c r="F33" s="1345"/>
      <c r="G33" s="1345"/>
      <c r="H33" s="1345"/>
      <c r="I33" s="1345"/>
      <c r="J33" s="1359"/>
      <c r="K33" s="1359"/>
      <c r="L33" s="1348"/>
      <c r="M33" s="1327"/>
      <c r="N33" s="1288"/>
      <c r="O33" s="1281"/>
      <c r="P33" s="1288"/>
      <c r="Q33" s="1288"/>
      <c r="R33" s="1288"/>
      <c r="S33" s="1288"/>
      <c r="T33" s="1288"/>
      <c r="U33" s="1292"/>
      <c r="V33" s="1293"/>
    </row>
    <row r="34" spans="1:22">
      <c r="A34" s="1303"/>
      <c r="B34" s="1342" t="s">
        <v>107</v>
      </c>
      <c r="C34" s="1281"/>
      <c r="D34" s="1281">
        <v>80195</v>
      </c>
      <c r="E34" s="1281"/>
      <c r="F34" s="1345" t="s">
        <v>130</v>
      </c>
      <c r="G34" s="1345"/>
      <c r="H34" s="1345"/>
      <c r="I34" s="1345"/>
      <c r="J34" s="1359"/>
      <c r="K34" s="1359"/>
      <c r="L34" s="1348"/>
      <c r="M34" s="1327"/>
      <c r="N34" s="1288"/>
      <c r="O34" s="1281"/>
      <c r="P34" s="1288"/>
      <c r="Q34" s="1288"/>
      <c r="R34" s="1288"/>
      <c r="S34" s="1288"/>
      <c r="T34" s="1288"/>
      <c r="U34" s="1292"/>
      <c r="V34" s="1293"/>
    </row>
    <row r="35" spans="1:22">
      <c r="A35" s="1303"/>
      <c r="B35" s="1343"/>
      <c r="C35" s="1344"/>
      <c r="D35" s="1344"/>
      <c r="E35" s="1344"/>
      <c r="F35" s="1346"/>
      <c r="G35" s="1346"/>
      <c r="H35" s="1346"/>
      <c r="I35" s="1346"/>
      <c r="J35" s="1359"/>
      <c r="K35" s="1359"/>
      <c r="L35" s="1348"/>
      <c r="M35" s="1327"/>
      <c r="N35" s="1288"/>
      <c r="O35" s="1281"/>
      <c r="P35" s="1288"/>
      <c r="Q35" s="1288"/>
      <c r="R35" s="1288"/>
      <c r="S35" s="1288"/>
      <c r="T35" s="1288"/>
      <c r="U35" s="1294"/>
      <c r="V35" s="1295"/>
    </row>
    <row r="36" spans="1:22" ht="13.5" thickBot="1">
      <c r="A36" s="1304"/>
      <c r="B36" s="1304" t="s">
        <v>147</v>
      </c>
      <c r="C36" s="1349"/>
      <c r="D36" s="1349"/>
      <c r="E36" s="1349"/>
      <c r="F36" s="1349"/>
      <c r="G36" s="1349"/>
      <c r="H36" s="1349"/>
      <c r="I36" s="1350"/>
      <c r="J36" s="1360"/>
      <c r="K36" s="1359"/>
      <c r="L36" s="1348"/>
      <c r="M36" s="1279" t="s">
        <v>143</v>
      </c>
      <c r="N36" s="1280">
        <f>SUM(P36:T39)</f>
        <v>109152</v>
      </c>
      <c r="O36" s="1281" t="s">
        <v>112</v>
      </c>
      <c r="P36" s="1280">
        <v>109152</v>
      </c>
      <c r="Q36" s="1280"/>
      <c r="R36" s="1280"/>
      <c r="S36" s="1280"/>
      <c r="T36" s="1296"/>
      <c r="U36" s="1277" t="s">
        <v>144</v>
      </c>
      <c r="V36" s="1311">
        <f>P32</f>
        <v>128413</v>
      </c>
    </row>
    <row r="37" spans="1:22" ht="14.25" thickTop="1" thickBot="1">
      <c r="A37" s="1304"/>
      <c r="B37" s="1351"/>
      <c r="C37" s="1352"/>
      <c r="D37" s="1352"/>
      <c r="E37" s="1352"/>
      <c r="F37" s="1352"/>
      <c r="G37" s="1352"/>
      <c r="H37" s="1352"/>
      <c r="I37" s="1353"/>
      <c r="J37" s="1360"/>
      <c r="K37" s="1359"/>
      <c r="L37" s="1348"/>
      <c r="M37" s="1279"/>
      <c r="N37" s="1281"/>
      <c r="O37" s="1281"/>
      <c r="P37" s="1280"/>
      <c r="Q37" s="1280"/>
      <c r="R37" s="1280"/>
      <c r="S37" s="1280"/>
      <c r="T37" s="1297"/>
      <c r="U37" s="1278"/>
      <c r="V37" s="1312"/>
    </row>
    <row r="38" spans="1:22" ht="14.25" thickTop="1" thickBot="1">
      <c r="A38" s="1304"/>
      <c r="B38" s="1351"/>
      <c r="C38" s="1352"/>
      <c r="D38" s="1352"/>
      <c r="E38" s="1352"/>
      <c r="F38" s="1352"/>
      <c r="G38" s="1352"/>
      <c r="H38" s="1352"/>
      <c r="I38" s="1353"/>
      <c r="J38" s="1360"/>
      <c r="K38" s="1359"/>
      <c r="L38" s="1362">
        <v>335185</v>
      </c>
      <c r="M38" s="1279"/>
      <c r="N38" s="1281"/>
      <c r="O38" s="1281"/>
      <c r="P38" s="1280"/>
      <c r="Q38" s="1280"/>
      <c r="R38" s="1280"/>
      <c r="S38" s="1280"/>
      <c r="T38" s="1297"/>
      <c r="U38" s="1278" t="s">
        <v>145</v>
      </c>
      <c r="V38" s="1312">
        <f>Q32</f>
        <v>0</v>
      </c>
    </row>
    <row r="39" spans="1:22" ht="13.5" thickTop="1">
      <c r="A39" s="1304"/>
      <c r="B39" s="1354"/>
      <c r="C39" s="1355"/>
      <c r="D39" s="1355"/>
      <c r="E39" s="1355"/>
      <c r="F39" s="1355"/>
      <c r="G39" s="1355"/>
      <c r="H39" s="1355"/>
      <c r="I39" s="1356"/>
      <c r="J39" s="1360"/>
      <c r="K39" s="1359"/>
      <c r="L39" s="1362"/>
      <c r="M39" s="1279"/>
      <c r="N39" s="1281"/>
      <c r="O39" s="1281"/>
      <c r="P39" s="1280"/>
      <c r="Q39" s="1280"/>
      <c r="R39" s="1280"/>
      <c r="S39" s="1280"/>
      <c r="T39" s="1364"/>
      <c r="U39" s="1278"/>
      <c r="V39" s="1312"/>
    </row>
    <row r="40" spans="1:22" ht="13.5" thickBot="1">
      <c r="A40" s="1304"/>
      <c r="B40" s="1330" t="s">
        <v>148</v>
      </c>
      <c r="C40" s="1331"/>
      <c r="D40" s="1331"/>
      <c r="E40" s="1331"/>
      <c r="F40" s="1331"/>
      <c r="G40" s="1331"/>
      <c r="H40" s="1331"/>
      <c r="I40" s="1332"/>
      <c r="J40" s="1359"/>
      <c r="K40" s="1359"/>
      <c r="L40" s="1362"/>
      <c r="M40" s="1336" t="s">
        <v>149</v>
      </c>
      <c r="N40" s="1280">
        <f>SUM(P40:T43)</f>
        <v>19261</v>
      </c>
      <c r="O40" s="1281" t="s">
        <v>112</v>
      </c>
      <c r="P40" s="1280">
        <v>19261</v>
      </c>
      <c r="Q40" s="1280"/>
      <c r="R40" s="1280"/>
      <c r="S40" s="1280"/>
      <c r="T40" s="1296"/>
      <c r="U40" s="1278"/>
      <c r="V40" s="1273">
        <f>R32</f>
        <v>0</v>
      </c>
    </row>
    <row r="41" spans="1:22" ht="14.25" thickTop="1" thickBot="1">
      <c r="A41" s="1304"/>
      <c r="B41" s="1330"/>
      <c r="C41" s="1331"/>
      <c r="D41" s="1331"/>
      <c r="E41" s="1331"/>
      <c r="F41" s="1331"/>
      <c r="G41" s="1331"/>
      <c r="H41" s="1331"/>
      <c r="I41" s="1332"/>
      <c r="J41" s="1359"/>
      <c r="K41" s="1359"/>
      <c r="L41" s="1362"/>
      <c r="M41" s="1337"/>
      <c r="N41" s="1281"/>
      <c r="O41" s="1281"/>
      <c r="P41" s="1280"/>
      <c r="Q41" s="1280"/>
      <c r="R41" s="1280"/>
      <c r="S41" s="1280"/>
      <c r="T41" s="1297"/>
      <c r="U41" s="1278"/>
      <c r="V41" s="1273"/>
    </row>
    <row r="42" spans="1:22" ht="14.25" thickTop="1" thickBot="1">
      <c r="A42" s="1304"/>
      <c r="B42" s="1330"/>
      <c r="C42" s="1331"/>
      <c r="D42" s="1331"/>
      <c r="E42" s="1331"/>
      <c r="F42" s="1331"/>
      <c r="G42" s="1331"/>
      <c r="H42" s="1331"/>
      <c r="I42" s="1332"/>
      <c r="J42" s="1359"/>
      <c r="K42" s="1359"/>
      <c r="L42" s="1362"/>
      <c r="M42" s="1337"/>
      <c r="N42" s="1281"/>
      <c r="O42" s="1281"/>
      <c r="P42" s="1280"/>
      <c r="Q42" s="1280"/>
      <c r="R42" s="1280"/>
      <c r="S42" s="1280"/>
      <c r="T42" s="1297"/>
      <c r="U42" s="1278"/>
      <c r="V42" s="1273">
        <f>S32</f>
        <v>0</v>
      </c>
    </row>
    <row r="43" spans="1:22" ht="14.25" thickTop="1" thickBot="1">
      <c r="A43" s="1305"/>
      <c r="B43" s="1333"/>
      <c r="C43" s="1334"/>
      <c r="D43" s="1334"/>
      <c r="E43" s="1334"/>
      <c r="F43" s="1334"/>
      <c r="G43" s="1334"/>
      <c r="H43" s="1334"/>
      <c r="I43" s="1335"/>
      <c r="J43" s="1361"/>
      <c r="K43" s="1361"/>
      <c r="L43" s="1363"/>
      <c r="M43" s="1338"/>
      <c r="N43" s="1339"/>
      <c r="O43" s="1339"/>
      <c r="P43" s="1286"/>
      <c r="Q43" s="1286"/>
      <c r="R43" s="1286"/>
      <c r="S43" s="1286"/>
      <c r="T43" s="1297"/>
      <c r="U43" s="1387"/>
      <c r="V43" s="1276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302">
        <v>3</v>
      </c>
      <c r="B45" s="1306" t="s">
        <v>101</v>
      </c>
      <c r="C45" s="1307"/>
      <c r="D45" s="1307">
        <v>852</v>
      </c>
      <c r="E45" s="1307"/>
      <c r="F45" s="1357" t="s">
        <v>150</v>
      </c>
      <c r="G45" s="1357"/>
      <c r="H45" s="1357"/>
      <c r="I45" s="1357"/>
      <c r="J45" s="1358">
        <v>2008</v>
      </c>
      <c r="K45" s="1358">
        <v>2013</v>
      </c>
      <c r="L45" s="1384">
        <f>SUM(N45,L53)</f>
        <v>3446002</v>
      </c>
      <c r="M45" s="1326" t="s">
        <v>120</v>
      </c>
      <c r="N45" s="1287">
        <f>SUM(N49:N60)</f>
        <v>1321338</v>
      </c>
      <c r="O45" s="1329" t="s">
        <v>112</v>
      </c>
      <c r="P45" s="1287">
        <f t="shared" ref="P45:T45" si="2">SUM(P49:P60)</f>
        <v>660669</v>
      </c>
      <c r="Q45" s="1287">
        <f t="shared" si="2"/>
        <v>660669</v>
      </c>
      <c r="R45" s="1287">
        <f t="shared" si="2"/>
        <v>0</v>
      </c>
      <c r="S45" s="1287">
        <f t="shared" si="2"/>
        <v>0</v>
      </c>
      <c r="T45" s="1287">
        <f t="shared" si="2"/>
        <v>0</v>
      </c>
      <c r="U45" s="1381">
        <f>SUM(V49:V60)</f>
        <v>1321338</v>
      </c>
      <c r="V45" s="1291"/>
    </row>
    <row r="46" spans="1:22">
      <c r="A46" s="1303"/>
      <c r="B46" s="1308"/>
      <c r="C46" s="1309"/>
      <c r="D46" s="1309"/>
      <c r="E46" s="1309"/>
      <c r="F46" s="1345"/>
      <c r="G46" s="1345"/>
      <c r="H46" s="1345"/>
      <c r="I46" s="1345"/>
      <c r="J46" s="1359"/>
      <c r="K46" s="1359"/>
      <c r="L46" s="1385"/>
      <c r="M46" s="1327"/>
      <c r="N46" s="1288"/>
      <c r="O46" s="1281"/>
      <c r="P46" s="1288"/>
      <c r="Q46" s="1288"/>
      <c r="R46" s="1288"/>
      <c r="S46" s="1288"/>
      <c r="T46" s="1288"/>
      <c r="U46" s="1382"/>
      <c r="V46" s="1293"/>
    </row>
    <row r="47" spans="1:22">
      <c r="A47" s="1303"/>
      <c r="B47" s="1342" t="s">
        <v>107</v>
      </c>
      <c r="C47" s="1281"/>
      <c r="D47" s="1281">
        <v>85214</v>
      </c>
      <c r="E47" s="1281"/>
      <c r="F47" s="1345" t="s">
        <v>151</v>
      </c>
      <c r="G47" s="1345"/>
      <c r="H47" s="1345"/>
      <c r="I47" s="1345"/>
      <c r="J47" s="1359"/>
      <c r="K47" s="1359"/>
      <c r="L47" s="1385"/>
      <c r="M47" s="1327"/>
      <c r="N47" s="1288"/>
      <c r="O47" s="1281"/>
      <c r="P47" s="1288"/>
      <c r="Q47" s="1288"/>
      <c r="R47" s="1288"/>
      <c r="S47" s="1288"/>
      <c r="T47" s="1288"/>
      <c r="U47" s="1382"/>
      <c r="V47" s="1293"/>
    </row>
    <row r="48" spans="1:22">
      <c r="A48" s="1303"/>
      <c r="B48" s="1343"/>
      <c r="C48" s="1344"/>
      <c r="D48" s="1344"/>
      <c r="E48" s="1344"/>
      <c r="F48" s="1346"/>
      <c r="G48" s="1346"/>
      <c r="H48" s="1346"/>
      <c r="I48" s="1346"/>
      <c r="J48" s="1359"/>
      <c r="K48" s="1359"/>
      <c r="L48" s="1385"/>
      <c r="M48" s="1327"/>
      <c r="N48" s="1288"/>
      <c r="O48" s="1281"/>
      <c r="P48" s="1288"/>
      <c r="Q48" s="1288"/>
      <c r="R48" s="1288"/>
      <c r="S48" s="1288"/>
      <c r="T48" s="1288"/>
      <c r="U48" s="1383"/>
      <c r="V48" s="1295"/>
    </row>
    <row r="49" spans="1:22">
      <c r="A49" s="1304"/>
      <c r="B49" s="1342" t="s">
        <v>107</v>
      </c>
      <c r="C49" s="1281"/>
      <c r="D49" s="1281">
        <v>85295</v>
      </c>
      <c r="E49" s="1281"/>
      <c r="F49" s="1345" t="s">
        <v>130</v>
      </c>
      <c r="G49" s="1345"/>
      <c r="H49" s="1345"/>
      <c r="I49" s="1345"/>
      <c r="J49" s="1360"/>
      <c r="K49" s="1359"/>
      <c r="L49" s="1385"/>
      <c r="M49" s="1279" t="s">
        <v>152</v>
      </c>
      <c r="N49" s="1280">
        <f>SUM(P49:T52)</f>
        <v>162310</v>
      </c>
      <c r="O49" s="1281" t="s">
        <v>112</v>
      </c>
      <c r="P49" s="1280">
        <v>81155</v>
      </c>
      <c r="Q49" s="1280">
        <v>81155</v>
      </c>
      <c r="R49" s="1280"/>
      <c r="S49" s="1280"/>
      <c r="T49" s="1280"/>
      <c r="U49" s="1380" t="s">
        <v>144</v>
      </c>
      <c r="V49" s="1311">
        <f>P45</f>
        <v>660669</v>
      </c>
    </row>
    <row r="50" spans="1:22">
      <c r="A50" s="1304"/>
      <c r="B50" s="1342"/>
      <c r="C50" s="1281"/>
      <c r="D50" s="1344"/>
      <c r="E50" s="1344"/>
      <c r="F50" s="1346"/>
      <c r="G50" s="1346"/>
      <c r="H50" s="1346"/>
      <c r="I50" s="1346"/>
      <c r="J50" s="1360"/>
      <c r="K50" s="1359"/>
      <c r="L50" s="1385"/>
      <c r="M50" s="1279"/>
      <c r="N50" s="1280"/>
      <c r="O50" s="1281"/>
      <c r="P50" s="1280"/>
      <c r="Q50" s="1280"/>
      <c r="R50" s="1280"/>
      <c r="S50" s="1280"/>
      <c r="T50" s="1280"/>
      <c r="U50" s="1373"/>
      <c r="V50" s="1312"/>
    </row>
    <row r="51" spans="1:22">
      <c r="A51" s="1304"/>
      <c r="B51" s="1304" t="s">
        <v>153</v>
      </c>
      <c r="C51" s="1349"/>
      <c r="D51" s="1349"/>
      <c r="E51" s="1349"/>
      <c r="F51" s="1349"/>
      <c r="G51" s="1349"/>
      <c r="H51" s="1349"/>
      <c r="I51" s="1350"/>
      <c r="J51" s="1360"/>
      <c r="K51" s="1359"/>
      <c r="L51" s="1385"/>
      <c r="M51" s="1279"/>
      <c r="N51" s="1280"/>
      <c r="O51" s="1281"/>
      <c r="P51" s="1280"/>
      <c r="Q51" s="1280"/>
      <c r="R51" s="1280"/>
      <c r="S51" s="1280"/>
      <c r="T51" s="1280"/>
      <c r="U51" s="1373" t="s">
        <v>145</v>
      </c>
      <c r="V51" s="1312">
        <f>Q45</f>
        <v>660669</v>
      </c>
    </row>
    <row r="52" spans="1:22">
      <c r="A52" s="1304"/>
      <c r="B52" s="1351"/>
      <c r="C52" s="1352"/>
      <c r="D52" s="1352"/>
      <c r="E52" s="1352"/>
      <c r="F52" s="1352"/>
      <c r="G52" s="1352"/>
      <c r="H52" s="1352"/>
      <c r="I52" s="1353"/>
      <c r="J52" s="1360"/>
      <c r="K52" s="1359"/>
      <c r="L52" s="1386"/>
      <c r="M52" s="1336"/>
      <c r="N52" s="1299"/>
      <c r="O52" s="1281"/>
      <c r="P52" s="1299"/>
      <c r="Q52" s="1299"/>
      <c r="R52" s="1299"/>
      <c r="S52" s="1280"/>
      <c r="T52" s="1280"/>
      <c r="U52" s="1373"/>
      <c r="V52" s="1312"/>
    </row>
    <row r="53" spans="1:22">
      <c r="A53" s="1304"/>
      <c r="B53" s="1351"/>
      <c r="C53" s="1352"/>
      <c r="D53" s="1352"/>
      <c r="E53" s="1352"/>
      <c r="F53" s="1352"/>
      <c r="G53" s="1352"/>
      <c r="H53" s="1352"/>
      <c r="I53" s="1353"/>
      <c r="J53" s="1359"/>
      <c r="K53" s="1359"/>
      <c r="L53" s="1374">
        <v>2124664</v>
      </c>
      <c r="M53" s="1336" t="s">
        <v>143</v>
      </c>
      <c r="N53" s="1280">
        <f>SUM(P53:T56)</f>
        <v>1100740</v>
      </c>
      <c r="O53" s="1281" t="s">
        <v>112</v>
      </c>
      <c r="P53" s="1299">
        <v>550370</v>
      </c>
      <c r="Q53" s="1299">
        <v>550370</v>
      </c>
      <c r="R53" s="1299"/>
      <c r="S53" s="1280"/>
      <c r="T53" s="1280"/>
      <c r="U53" s="1373" t="s">
        <v>154</v>
      </c>
      <c r="V53" s="1273">
        <f>R45</f>
        <v>0</v>
      </c>
    </row>
    <row r="54" spans="1:22">
      <c r="A54" s="1304"/>
      <c r="B54" s="1351"/>
      <c r="C54" s="1352"/>
      <c r="D54" s="1352"/>
      <c r="E54" s="1352"/>
      <c r="F54" s="1352"/>
      <c r="G54" s="1352"/>
      <c r="H54" s="1352"/>
      <c r="I54" s="1353"/>
      <c r="J54" s="1359"/>
      <c r="K54" s="1359"/>
      <c r="L54" s="1375"/>
      <c r="M54" s="1337"/>
      <c r="N54" s="1280"/>
      <c r="O54" s="1281"/>
      <c r="P54" s="1300"/>
      <c r="Q54" s="1300"/>
      <c r="R54" s="1300"/>
      <c r="S54" s="1280"/>
      <c r="T54" s="1280"/>
      <c r="U54" s="1373"/>
      <c r="V54" s="1273"/>
    </row>
    <row r="55" spans="1:22">
      <c r="A55" s="1304"/>
      <c r="B55" s="1351"/>
      <c r="C55" s="1352"/>
      <c r="D55" s="1352"/>
      <c r="E55" s="1352"/>
      <c r="F55" s="1352"/>
      <c r="G55" s="1352"/>
      <c r="H55" s="1352"/>
      <c r="I55" s="1353"/>
      <c r="J55" s="1359"/>
      <c r="K55" s="1359"/>
      <c r="L55" s="1375"/>
      <c r="M55" s="1337"/>
      <c r="N55" s="1280"/>
      <c r="O55" s="1281"/>
      <c r="P55" s="1300"/>
      <c r="Q55" s="1300"/>
      <c r="R55" s="1300"/>
      <c r="S55" s="1280"/>
      <c r="T55" s="1280"/>
      <c r="U55" s="1373"/>
      <c r="V55" s="1273">
        <f>S45</f>
        <v>0</v>
      </c>
    </row>
    <row r="56" spans="1:22">
      <c r="A56" s="1304"/>
      <c r="B56" s="1354"/>
      <c r="C56" s="1355"/>
      <c r="D56" s="1355"/>
      <c r="E56" s="1355"/>
      <c r="F56" s="1355"/>
      <c r="G56" s="1355"/>
      <c r="H56" s="1355"/>
      <c r="I56" s="1356"/>
      <c r="J56" s="1359"/>
      <c r="K56" s="1359"/>
      <c r="L56" s="1375"/>
      <c r="M56" s="1377"/>
      <c r="N56" s="1299"/>
      <c r="O56" s="1281"/>
      <c r="P56" s="1301"/>
      <c r="Q56" s="1301"/>
      <c r="R56" s="1301"/>
      <c r="S56" s="1280"/>
      <c r="T56" s="1280"/>
      <c r="U56" s="1373"/>
      <c r="V56" s="1273"/>
    </row>
    <row r="57" spans="1:22">
      <c r="A57" s="1304"/>
      <c r="B57" s="1330" t="s">
        <v>155</v>
      </c>
      <c r="C57" s="1331"/>
      <c r="D57" s="1331"/>
      <c r="E57" s="1331"/>
      <c r="F57" s="1331"/>
      <c r="G57" s="1331"/>
      <c r="H57" s="1331"/>
      <c r="I57" s="1332"/>
      <c r="J57" s="1359"/>
      <c r="K57" s="1359"/>
      <c r="L57" s="1375"/>
      <c r="M57" s="1336" t="s">
        <v>156</v>
      </c>
      <c r="N57" s="1280">
        <f>SUM(P57:T60)</f>
        <v>58288</v>
      </c>
      <c r="O57" s="1281" t="s">
        <v>112</v>
      </c>
      <c r="P57" s="1299">
        <v>29144</v>
      </c>
      <c r="Q57" s="1299">
        <v>29144</v>
      </c>
      <c r="R57" s="1299"/>
      <c r="S57" s="1299"/>
      <c r="T57" s="1299"/>
      <c r="U57" s="1373"/>
      <c r="V57" s="1312"/>
    </row>
    <row r="58" spans="1:22">
      <c r="A58" s="1304"/>
      <c r="B58" s="1330"/>
      <c r="C58" s="1331"/>
      <c r="D58" s="1331"/>
      <c r="E58" s="1331"/>
      <c r="F58" s="1331"/>
      <c r="G58" s="1331"/>
      <c r="H58" s="1331"/>
      <c r="I58" s="1332"/>
      <c r="J58" s="1359"/>
      <c r="K58" s="1359"/>
      <c r="L58" s="1375"/>
      <c r="M58" s="1337"/>
      <c r="N58" s="1280"/>
      <c r="O58" s="1281"/>
      <c r="P58" s="1300"/>
      <c r="Q58" s="1300"/>
      <c r="R58" s="1300"/>
      <c r="S58" s="1300"/>
      <c r="T58" s="1300"/>
      <c r="U58" s="1373"/>
      <c r="V58" s="1312"/>
    </row>
    <row r="59" spans="1:22">
      <c r="A59" s="1304"/>
      <c r="B59" s="1330"/>
      <c r="C59" s="1331"/>
      <c r="D59" s="1331"/>
      <c r="E59" s="1331"/>
      <c r="F59" s="1331"/>
      <c r="G59" s="1331"/>
      <c r="H59" s="1331"/>
      <c r="I59" s="1332"/>
      <c r="J59" s="1359"/>
      <c r="K59" s="1359"/>
      <c r="L59" s="1375"/>
      <c r="M59" s="1337"/>
      <c r="N59" s="1280"/>
      <c r="O59" s="1281"/>
      <c r="P59" s="1300"/>
      <c r="Q59" s="1300"/>
      <c r="R59" s="1300"/>
      <c r="S59" s="1300"/>
      <c r="T59" s="1300"/>
      <c r="U59" s="1373"/>
      <c r="V59" s="1312"/>
    </row>
    <row r="60" spans="1:22" ht="13.5" thickBot="1">
      <c r="A60" s="1305"/>
      <c r="B60" s="1333"/>
      <c r="C60" s="1334"/>
      <c r="D60" s="1334"/>
      <c r="E60" s="1334"/>
      <c r="F60" s="1334"/>
      <c r="G60" s="1334"/>
      <c r="H60" s="1334"/>
      <c r="I60" s="1335"/>
      <c r="J60" s="1361"/>
      <c r="K60" s="1361"/>
      <c r="L60" s="1376"/>
      <c r="M60" s="1338"/>
      <c r="N60" s="1286"/>
      <c r="O60" s="1339"/>
      <c r="P60" s="1296"/>
      <c r="Q60" s="1296"/>
      <c r="R60" s="1296"/>
      <c r="S60" s="1296"/>
      <c r="T60" s="1296"/>
      <c r="U60" s="1378"/>
      <c r="V60" s="1379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302">
        <v>4</v>
      </c>
      <c r="B62" s="1306" t="s">
        <v>101</v>
      </c>
      <c r="C62" s="1307"/>
      <c r="D62" s="1307">
        <v>854</v>
      </c>
      <c r="E62" s="1307"/>
      <c r="F62" s="1357" t="s">
        <v>157</v>
      </c>
      <c r="G62" s="1357"/>
      <c r="H62" s="1357"/>
      <c r="I62" s="1357"/>
      <c r="J62" s="1358">
        <v>2010</v>
      </c>
      <c r="K62" s="1358">
        <v>2012</v>
      </c>
      <c r="L62" s="1347">
        <f>SUM(N62,L68)</f>
        <v>851720</v>
      </c>
      <c r="M62" s="1326" t="s">
        <v>120</v>
      </c>
      <c r="N62" s="1287">
        <f>SUM(N66:N73)</f>
        <v>205558</v>
      </c>
      <c r="O62" s="1329" t="s">
        <v>112</v>
      </c>
      <c r="P62" s="1287">
        <f>SUM(P66:P73)</f>
        <v>205558</v>
      </c>
      <c r="Q62" s="1287">
        <f t="shared" ref="Q62:T62" si="3">SUM(Q66:Q73)</f>
        <v>0</v>
      </c>
      <c r="R62" s="1287">
        <f t="shared" si="3"/>
        <v>0</v>
      </c>
      <c r="S62" s="1287">
        <f t="shared" si="3"/>
        <v>0</v>
      </c>
      <c r="T62" s="1287">
        <f t="shared" si="3"/>
        <v>0</v>
      </c>
      <c r="U62" s="1290">
        <f>SUM(V66:V73)</f>
        <v>205558</v>
      </c>
      <c r="V62" s="1291"/>
    </row>
    <row r="63" spans="1:22">
      <c r="A63" s="1303"/>
      <c r="B63" s="1308"/>
      <c r="C63" s="1309"/>
      <c r="D63" s="1309"/>
      <c r="E63" s="1309"/>
      <c r="F63" s="1345"/>
      <c r="G63" s="1345"/>
      <c r="H63" s="1345"/>
      <c r="I63" s="1345"/>
      <c r="J63" s="1359"/>
      <c r="K63" s="1359"/>
      <c r="L63" s="1348"/>
      <c r="M63" s="1327"/>
      <c r="N63" s="1288"/>
      <c r="O63" s="1281"/>
      <c r="P63" s="1288"/>
      <c r="Q63" s="1288"/>
      <c r="R63" s="1288"/>
      <c r="S63" s="1288"/>
      <c r="T63" s="1288"/>
      <c r="U63" s="1292"/>
      <c r="V63" s="1293"/>
    </row>
    <row r="64" spans="1:22">
      <c r="A64" s="1303"/>
      <c r="B64" s="1342" t="s">
        <v>107</v>
      </c>
      <c r="C64" s="1281"/>
      <c r="D64" s="1281">
        <v>85495</v>
      </c>
      <c r="E64" s="1281"/>
      <c r="F64" s="1345" t="s">
        <v>130</v>
      </c>
      <c r="G64" s="1345"/>
      <c r="H64" s="1345"/>
      <c r="I64" s="1345"/>
      <c r="J64" s="1359"/>
      <c r="K64" s="1359"/>
      <c r="L64" s="1348"/>
      <c r="M64" s="1327"/>
      <c r="N64" s="1288"/>
      <c r="O64" s="1281"/>
      <c r="P64" s="1288"/>
      <c r="Q64" s="1288"/>
      <c r="R64" s="1288"/>
      <c r="S64" s="1288"/>
      <c r="T64" s="1288"/>
      <c r="U64" s="1292"/>
      <c r="V64" s="1293"/>
    </row>
    <row r="65" spans="1:22">
      <c r="A65" s="1303"/>
      <c r="B65" s="1343"/>
      <c r="C65" s="1344"/>
      <c r="D65" s="1344"/>
      <c r="E65" s="1344"/>
      <c r="F65" s="1346"/>
      <c r="G65" s="1346"/>
      <c r="H65" s="1346"/>
      <c r="I65" s="1346"/>
      <c r="J65" s="1359"/>
      <c r="K65" s="1359"/>
      <c r="L65" s="1348"/>
      <c r="M65" s="1327"/>
      <c r="N65" s="1288"/>
      <c r="O65" s="1281"/>
      <c r="P65" s="1288"/>
      <c r="Q65" s="1288"/>
      <c r="R65" s="1288"/>
      <c r="S65" s="1288"/>
      <c r="T65" s="1288"/>
      <c r="U65" s="1294"/>
      <c r="V65" s="1295"/>
    </row>
    <row r="66" spans="1:22" ht="13.5" thickBot="1">
      <c r="A66" s="1304"/>
      <c r="B66" s="1304" t="s">
        <v>158</v>
      </c>
      <c r="C66" s="1349"/>
      <c r="D66" s="1349"/>
      <c r="E66" s="1349"/>
      <c r="F66" s="1349"/>
      <c r="G66" s="1349"/>
      <c r="H66" s="1349"/>
      <c r="I66" s="1350"/>
      <c r="J66" s="1360"/>
      <c r="K66" s="1359"/>
      <c r="L66" s="1348"/>
      <c r="M66" s="1279" t="s">
        <v>143</v>
      </c>
      <c r="N66" s="1280">
        <f>SUM(P66:T69)</f>
        <v>177385</v>
      </c>
      <c r="O66" s="1281" t="s">
        <v>112</v>
      </c>
      <c r="P66" s="1280">
        <v>177385</v>
      </c>
      <c r="Q66" s="1280"/>
      <c r="R66" s="1280"/>
      <c r="S66" s="1280"/>
      <c r="T66" s="1296"/>
      <c r="U66" s="1277" t="s">
        <v>144</v>
      </c>
      <c r="V66" s="1311">
        <f>P62</f>
        <v>205558</v>
      </c>
    </row>
    <row r="67" spans="1:22" ht="14.25" thickTop="1" thickBot="1">
      <c r="A67" s="1304"/>
      <c r="B67" s="1351"/>
      <c r="C67" s="1352"/>
      <c r="D67" s="1352"/>
      <c r="E67" s="1352"/>
      <c r="F67" s="1352"/>
      <c r="G67" s="1352"/>
      <c r="H67" s="1352"/>
      <c r="I67" s="1353"/>
      <c r="J67" s="1360"/>
      <c r="K67" s="1359"/>
      <c r="L67" s="1348"/>
      <c r="M67" s="1279"/>
      <c r="N67" s="1281"/>
      <c r="O67" s="1281"/>
      <c r="P67" s="1280"/>
      <c r="Q67" s="1280"/>
      <c r="R67" s="1280"/>
      <c r="S67" s="1280"/>
      <c r="T67" s="1297"/>
      <c r="U67" s="1278"/>
      <c r="V67" s="1312"/>
    </row>
    <row r="68" spans="1:22" ht="14.25" thickTop="1" thickBot="1">
      <c r="A68" s="1304"/>
      <c r="B68" s="1351"/>
      <c r="C68" s="1352"/>
      <c r="D68" s="1352"/>
      <c r="E68" s="1352"/>
      <c r="F68" s="1352"/>
      <c r="G68" s="1352"/>
      <c r="H68" s="1352"/>
      <c r="I68" s="1353"/>
      <c r="J68" s="1360"/>
      <c r="K68" s="1359"/>
      <c r="L68" s="1362">
        <v>646162</v>
      </c>
      <c r="M68" s="1279"/>
      <c r="N68" s="1281"/>
      <c r="O68" s="1281"/>
      <c r="P68" s="1280"/>
      <c r="Q68" s="1280"/>
      <c r="R68" s="1280"/>
      <c r="S68" s="1280"/>
      <c r="T68" s="1297"/>
      <c r="U68" s="1278" t="s">
        <v>145</v>
      </c>
      <c r="V68" s="1312">
        <f>Q62</f>
        <v>0</v>
      </c>
    </row>
    <row r="69" spans="1:22" ht="13.5" thickTop="1">
      <c r="A69" s="1304"/>
      <c r="B69" s="1354"/>
      <c r="C69" s="1355"/>
      <c r="D69" s="1355"/>
      <c r="E69" s="1355"/>
      <c r="F69" s="1355"/>
      <c r="G69" s="1355"/>
      <c r="H69" s="1355"/>
      <c r="I69" s="1356"/>
      <c r="J69" s="1360"/>
      <c r="K69" s="1359"/>
      <c r="L69" s="1362"/>
      <c r="M69" s="1279"/>
      <c r="N69" s="1281"/>
      <c r="O69" s="1281"/>
      <c r="P69" s="1280"/>
      <c r="Q69" s="1280"/>
      <c r="R69" s="1280"/>
      <c r="S69" s="1280"/>
      <c r="T69" s="1364"/>
      <c r="U69" s="1278"/>
      <c r="V69" s="1312"/>
    </row>
    <row r="70" spans="1:22" ht="13.5" thickBot="1">
      <c r="A70" s="1304"/>
      <c r="B70" s="1330" t="s">
        <v>159</v>
      </c>
      <c r="C70" s="1331"/>
      <c r="D70" s="1331"/>
      <c r="E70" s="1331"/>
      <c r="F70" s="1331"/>
      <c r="G70" s="1331"/>
      <c r="H70" s="1331"/>
      <c r="I70" s="1332"/>
      <c r="J70" s="1359"/>
      <c r="K70" s="1359"/>
      <c r="L70" s="1362"/>
      <c r="M70" s="1336" t="s">
        <v>149</v>
      </c>
      <c r="N70" s="1280">
        <f>SUM(P70:T73)</f>
        <v>28173</v>
      </c>
      <c r="O70" s="1281" t="s">
        <v>112</v>
      </c>
      <c r="P70" s="1280">
        <v>28173</v>
      </c>
      <c r="Q70" s="1280"/>
      <c r="R70" s="1280"/>
      <c r="S70" s="1280"/>
      <c r="T70" s="1296"/>
      <c r="U70" s="1278"/>
      <c r="V70" s="1273">
        <f>R62</f>
        <v>0</v>
      </c>
    </row>
    <row r="71" spans="1:22" ht="14.25" thickTop="1" thickBot="1">
      <c r="A71" s="1304"/>
      <c r="B71" s="1330"/>
      <c r="C71" s="1331"/>
      <c r="D71" s="1331"/>
      <c r="E71" s="1331"/>
      <c r="F71" s="1331"/>
      <c r="G71" s="1331"/>
      <c r="H71" s="1331"/>
      <c r="I71" s="1332"/>
      <c r="J71" s="1359"/>
      <c r="K71" s="1359"/>
      <c r="L71" s="1362"/>
      <c r="M71" s="1337"/>
      <c r="N71" s="1281"/>
      <c r="O71" s="1281"/>
      <c r="P71" s="1280"/>
      <c r="Q71" s="1280"/>
      <c r="R71" s="1280"/>
      <c r="S71" s="1280"/>
      <c r="T71" s="1297"/>
      <c r="U71" s="1278"/>
      <c r="V71" s="1273"/>
    </row>
    <row r="72" spans="1:22" ht="14.25" thickTop="1" thickBot="1">
      <c r="A72" s="1304"/>
      <c r="B72" s="1330"/>
      <c r="C72" s="1331"/>
      <c r="D72" s="1331"/>
      <c r="E72" s="1331"/>
      <c r="F72" s="1331"/>
      <c r="G72" s="1331"/>
      <c r="H72" s="1331"/>
      <c r="I72" s="1332"/>
      <c r="J72" s="1359"/>
      <c r="K72" s="1359"/>
      <c r="L72" s="1362"/>
      <c r="M72" s="1337"/>
      <c r="N72" s="1281"/>
      <c r="O72" s="1281"/>
      <c r="P72" s="1280"/>
      <c r="Q72" s="1280"/>
      <c r="R72" s="1280"/>
      <c r="S72" s="1280"/>
      <c r="T72" s="1297"/>
      <c r="U72" s="1274"/>
      <c r="V72" s="1273">
        <f>S62</f>
        <v>0</v>
      </c>
    </row>
    <row r="73" spans="1:22" ht="14.25" thickTop="1" thickBot="1">
      <c r="A73" s="1305"/>
      <c r="B73" s="1333"/>
      <c r="C73" s="1334"/>
      <c r="D73" s="1334"/>
      <c r="E73" s="1334"/>
      <c r="F73" s="1334"/>
      <c r="G73" s="1334"/>
      <c r="H73" s="1334"/>
      <c r="I73" s="1335"/>
      <c r="J73" s="1361"/>
      <c r="K73" s="1361"/>
      <c r="L73" s="1363"/>
      <c r="M73" s="1338"/>
      <c r="N73" s="1339"/>
      <c r="O73" s="1339"/>
      <c r="P73" s="1286"/>
      <c r="Q73" s="1286"/>
      <c r="R73" s="1286"/>
      <c r="S73" s="1286"/>
      <c r="T73" s="1297"/>
      <c r="U73" s="1275"/>
      <c r="V73" s="1276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302">
        <v>5</v>
      </c>
      <c r="B75" s="1306" t="s">
        <v>101</v>
      </c>
      <c r="C75" s="1307"/>
      <c r="D75" s="1307">
        <v>801</v>
      </c>
      <c r="E75" s="1307"/>
      <c r="F75" s="1357" t="s">
        <v>141</v>
      </c>
      <c r="G75" s="1357"/>
      <c r="H75" s="1357"/>
      <c r="I75" s="1357"/>
      <c r="J75" s="1358">
        <v>2011</v>
      </c>
      <c r="K75" s="1358">
        <v>2013</v>
      </c>
      <c r="L75" s="1347">
        <f>SUM(N75,L81)</f>
        <v>388500</v>
      </c>
      <c r="M75" s="1326" t="s">
        <v>120</v>
      </c>
      <c r="N75" s="1287">
        <f>SUM(N79:N86)</f>
        <v>388500</v>
      </c>
      <c r="O75" s="1329" t="s">
        <v>112</v>
      </c>
      <c r="P75" s="1287">
        <f>SUM(P79:P86)</f>
        <v>233100</v>
      </c>
      <c r="Q75" s="1287">
        <f t="shared" ref="Q75:T75" si="4">SUM(Q79:Q86)</f>
        <v>155400</v>
      </c>
      <c r="R75" s="1287">
        <f t="shared" si="4"/>
        <v>0</v>
      </c>
      <c r="S75" s="1287">
        <f t="shared" si="4"/>
        <v>0</v>
      </c>
      <c r="T75" s="1287">
        <f t="shared" si="4"/>
        <v>0</v>
      </c>
      <c r="U75" s="1290">
        <f>SUM(V79:V86)</f>
        <v>388500</v>
      </c>
      <c r="V75" s="1291"/>
    </row>
    <row r="76" spans="1:22">
      <c r="A76" s="1303"/>
      <c r="B76" s="1308"/>
      <c r="C76" s="1309"/>
      <c r="D76" s="1309"/>
      <c r="E76" s="1309"/>
      <c r="F76" s="1345"/>
      <c r="G76" s="1345"/>
      <c r="H76" s="1345"/>
      <c r="I76" s="1345"/>
      <c r="J76" s="1359"/>
      <c r="K76" s="1359"/>
      <c r="L76" s="1348"/>
      <c r="M76" s="1327"/>
      <c r="N76" s="1288"/>
      <c r="O76" s="1281"/>
      <c r="P76" s="1288"/>
      <c r="Q76" s="1288"/>
      <c r="R76" s="1288"/>
      <c r="S76" s="1288"/>
      <c r="T76" s="1288"/>
      <c r="U76" s="1292"/>
      <c r="V76" s="1293"/>
    </row>
    <row r="77" spans="1:22">
      <c r="A77" s="1303"/>
      <c r="B77" s="1342" t="s">
        <v>107</v>
      </c>
      <c r="C77" s="1281"/>
      <c r="D77" s="1281">
        <v>80195</v>
      </c>
      <c r="E77" s="1281"/>
      <c r="F77" s="1345" t="s">
        <v>130</v>
      </c>
      <c r="G77" s="1345"/>
      <c r="H77" s="1345"/>
      <c r="I77" s="1345"/>
      <c r="J77" s="1359"/>
      <c r="K77" s="1359"/>
      <c r="L77" s="1348"/>
      <c r="M77" s="1327"/>
      <c r="N77" s="1288"/>
      <c r="O77" s="1281"/>
      <c r="P77" s="1288"/>
      <c r="Q77" s="1288"/>
      <c r="R77" s="1288"/>
      <c r="S77" s="1288"/>
      <c r="T77" s="1288"/>
      <c r="U77" s="1292"/>
      <c r="V77" s="1293"/>
    </row>
    <row r="78" spans="1:22">
      <c r="A78" s="1303"/>
      <c r="B78" s="1343"/>
      <c r="C78" s="1344"/>
      <c r="D78" s="1344"/>
      <c r="E78" s="1344"/>
      <c r="F78" s="1346"/>
      <c r="G78" s="1346"/>
      <c r="H78" s="1346"/>
      <c r="I78" s="1346"/>
      <c r="J78" s="1359"/>
      <c r="K78" s="1359"/>
      <c r="L78" s="1348"/>
      <c r="M78" s="1327"/>
      <c r="N78" s="1288"/>
      <c r="O78" s="1281"/>
      <c r="P78" s="1288"/>
      <c r="Q78" s="1288"/>
      <c r="R78" s="1288"/>
      <c r="S78" s="1288"/>
      <c r="T78" s="1288"/>
      <c r="U78" s="1294"/>
      <c r="V78" s="1295"/>
    </row>
    <row r="79" spans="1:22" ht="13.5" thickBot="1">
      <c r="A79" s="1304"/>
      <c r="B79" s="1304" t="s">
        <v>160</v>
      </c>
      <c r="C79" s="1349"/>
      <c r="D79" s="1349"/>
      <c r="E79" s="1349"/>
      <c r="F79" s="1349"/>
      <c r="G79" s="1349"/>
      <c r="H79" s="1349"/>
      <c r="I79" s="1350"/>
      <c r="J79" s="1360"/>
      <c r="K79" s="1359"/>
      <c r="L79" s="1348"/>
      <c r="M79" s="1279" t="s">
        <v>143</v>
      </c>
      <c r="N79" s="1280">
        <f>SUM(P79:T82)</f>
        <v>330225</v>
      </c>
      <c r="O79" s="1281" t="s">
        <v>112</v>
      </c>
      <c r="P79" s="1299">
        <v>198135</v>
      </c>
      <c r="Q79" s="1299">
        <v>132090</v>
      </c>
      <c r="R79" s="1280"/>
      <c r="S79" s="1280"/>
      <c r="T79" s="1296"/>
      <c r="U79" s="1277" t="s">
        <v>144</v>
      </c>
      <c r="V79" s="1311">
        <f>P75</f>
        <v>233100</v>
      </c>
    </row>
    <row r="80" spans="1:22" ht="14.25" thickTop="1" thickBot="1">
      <c r="A80" s="1304"/>
      <c r="B80" s="1351"/>
      <c r="C80" s="1352"/>
      <c r="D80" s="1352"/>
      <c r="E80" s="1352"/>
      <c r="F80" s="1352"/>
      <c r="G80" s="1352"/>
      <c r="H80" s="1352"/>
      <c r="I80" s="1353"/>
      <c r="J80" s="1360"/>
      <c r="K80" s="1359"/>
      <c r="L80" s="1348"/>
      <c r="M80" s="1279"/>
      <c r="N80" s="1281"/>
      <c r="O80" s="1281"/>
      <c r="P80" s="1300"/>
      <c r="Q80" s="1300"/>
      <c r="R80" s="1280"/>
      <c r="S80" s="1280"/>
      <c r="T80" s="1297"/>
      <c r="U80" s="1278"/>
      <c r="V80" s="1312"/>
    </row>
    <row r="81" spans="1:22" ht="14.25" thickTop="1" thickBot="1">
      <c r="A81" s="1304"/>
      <c r="B81" s="1351"/>
      <c r="C81" s="1352"/>
      <c r="D81" s="1352"/>
      <c r="E81" s="1352"/>
      <c r="F81" s="1352"/>
      <c r="G81" s="1352"/>
      <c r="H81" s="1352"/>
      <c r="I81" s="1353"/>
      <c r="J81" s="1360"/>
      <c r="K81" s="1359"/>
      <c r="L81" s="1362">
        <v>0</v>
      </c>
      <c r="M81" s="1279"/>
      <c r="N81" s="1281"/>
      <c r="O81" s="1281"/>
      <c r="P81" s="1300"/>
      <c r="Q81" s="1300"/>
      <c r="R81" s="1280"/>
      <c r="S81" s="1280"/>
      <c r="T81" s="1297"/>
      <c r="U81" s="1278" t="s">
        <v>145</v>
      </c>
      <c r="V81" s="1312">
        <f>Q75</f>
        <v>155400</v>
      </c>
    </row>
    <row r="82" spans="1:22" ht="13.5" thickTop="1">
      <c r="A82" s="1304"/>
      <c r="B82" s="1354"/>
      <c r="C82" s="1355"/>
      <c r="D82" s="1355"/>
      <c r="E82" s="1355"/>
      <c r="F82" s="1355"/>
      <c r="G82" s="1355"/>
      <c r="H82" s="1355"/>
      <c r="I82" s="1356"/>
      <c r="J82" s="1360"/>
      <c r="K82" s="1359"/>
      <c r="L82" s="1362"/>
      <c r="M82" s="1279"/>
      <c r="N82" s="1281"/>
      <c r="O82" s="1281"/>
      <c r="P82" s="1301"/>
      <c r="Q82" s="1301"/>
      <c r="R82" s="1280"/>
      <c r="S82" s="1280"/>
      <c r="T82" s="1364"/>
      <c r="U82" s="1278"/>
      <c r="V82" s="1312"/>
    </row>
    <row r="83" spans="1:22" ht="13.5" thickBot="1">
      <c r="A83" s="1304"/>
      <c r="B83" s="1330" t="s">
        <v>161</v>
      </c>
      <c r="C83" s="1331"/>
      <c r="D83" s="1331"/>
      <c r="E83" s="1331"/>
      <c r="F83" s="1331"/>
      <c r="G83" s="1331"/>
      <c r="H83" s="1331"/>
      <c r="I83" s="1332"/>
      <c r="J83" s="1359"/>
      <c r="K83" s="1359"/>
      <c r="L83" s="1362"/>
      <c r="M83" s="1336" t="s">
        <v>162</v>
      </c>
      <c r="N83" s="1280">
        <f>SUM(P83:T86)</f>
        <v>58275</v>
      </c>
      <c r="O83" s="1281" t="s">
        <v>112</v>
      </c>
      <c r="P83" s="1299">
        <v>34965</v>
      </c>
      <c r="Q83" s="1299">
        <v>23310</v>
      </c>
      <c r="R83" s="1280"/>
      <c r="S83" s="1280"/>
      <c r="T83" s="1296"/>
      <c r="U83" s="1278"/>
      <c r="V83" s="1273"/>
    </row>
    <row r="84" spans="1:22" ht="14.25" thickTop="1" thickBot="1">
      <c r="A84" s="1304"/>
      <c r="B84" s="1330"/>
      <c r="C84" s="1331"/>
      <c r="D84" s="1331"/>
      <c r="E84" s="1331"/>
      <c r="F84" s="1331"/>
      <c r="G84" s="1331"/>
      <c r="H84" s="1331"/>
      <c r="I84" s="1332"/>
      <c r="J84" s="1359"/>
      <c r="K84" s="1359"/>
      <c r="L84" s="1362"/>
      <c r="M84" s="1337"/>
      <c r="N84" s="1281"/>
      <c r="O84" s="1281"/>
      <c r="P84" s="1300"/>
      <c r="Q84" s="1300"/>
      <c r="R84" s="1280"/>
      <c r="S84" s="1280"/>
      <c r="T84" s="1297"/>
      <c r="U84" s="1278"/>
      <c r="V84" s="1273"/>
    </row>
    <row r="85" spans="1:22" ht="14.25" thickTop="1" thickBot="1">
      <c r="A85" s="1304"/>
      <c r="B85" s="1330"/>
      <c r="C85" s="1331"/>
      <c r="D85" s="1331"/>
      <c r="E85" s="1331"/>
      <c r="F85" s="1331"/>
      <c r="G85" s="1331"/>
      <c r="H85" s="1331"/>
      <c r="I85" s="1332"/>
      <c r="J85" s="1359"/>
      <c r="K85" s="1359"/>
      <c r="L85" s="1362"/>
      <c r="M85" s="1337"/>
      <c r="N85" s="1281"/>
      <c r="O85" s="1281"/>
      <c r="P85" s="1300"/>
      <c r="Q85" s="1300"/>
      <c r="R85" s="1280"/>
      <c r="S85" s="1280"/>
      <c r="T85" s="1297"/>
      <c r="U85" s="1274"/>
      <c r="V85" s="1273"/>
    </row>
    <row r="86" spans="1:22" ht="14.25" thickTop="1" thickBot="1">
      <c r="A86" s="1305"/>
      <c r="B86" s="1333"/>
      <c r="C86" s="1334"/>
      <c r="D86" s="1334"/>
      <c r="E86" s="1334"/>
      <c r="F86" s="1334"/>
      <c r="G86" s="1334"/>
      <c r="H86" s="1334"/>
      <c r="I86" s="1335"/>
      <c r="J86" s="1361"/>
      <c r="K86" s="1361"/>
      <c r="L86" s="1363"/>
      <c r="M86" s="1338"/>
      <c r="N86" s="1339"/>
      <c r="O86" s="1339"/>
      <c r="P86" s="1296"/>
      <c r="Q86" s="1296"/>
      <c r="R86" s="1286"/>
      <c r="S86" s="1286"/>
      <c r="T86" s="1297"/>
      <c r="U86" s="1275"/>
      <c r="V86" s="1276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302">
        <v>6</v>
      </c>
      <c r="B88" s="1306" t="s">
        <v>101</v>
      </c>
      <c r="C88" s="1307"/>
      <c r="D88" s="1307">
        <v>801</v>
      </c>
      <c r="E88" s="1307"/>
      <c r="F88" s="1357" t="s">
        <v>141</v>
      </c>
      <c r="G88" s="1357"/>
      <c r="H88" s="1357"/>
      <c r="I88" s="1357"/>
      <c r="J88" s="1358">
        <v>2012</v>
      </c>
      <c r="K88" s="1358">
        <v>2013</v>
      </c>
      <c r="L88" s="1347">
        <f>SUM(N88,L94)</f>
        <v>679596</v>
      </c>
      <c r="M88" s="1326" t="s">
        <v>120</v>
      </c>
      <c r="N88" s="1287">
        <f>SUM(N92:N99)</f>
        <v>679596</v>
      </c>
      <c r="O88" s="1329" t="s">
        <v>112</v>
      </c>
      <c r="P88" s="1287">
        <f>SUM(P92:P99)</f>
        <v>453064</v>
      </c>
      <c r="Q88" s="1287">
        <f t="shared" ref="Q88:T88" si="5">SUM(Q92:Q99)</f>
        <v>226532</v>
      </c>
      <c r="R88" s="1287">
        <f t="shared" si="5"/>
        <v>0</v>
      </c>
      <c r="S88" s="1287">
        <f t="shared" si="5"/>
        <v>0</v>
      </c>
      <c r="T88" s="1287">
        <f t="shared" si="5"/>
        <v>0</v>
      </c>
      <c r="U88" s="1290">
        <f>SUM(V92:V99)</f>
        <v>679596</v>
      </c>
      <c r="V88" s="1291"/>
    </row>
    <row r="89" spans="1:22">
      <c r="A89" s="1303"/>
      <c r="B89" s="1308"/>
      <c r="C89" s="1309"/>
      <c r="D89" s="1309"/>
      <c r="E89" s="1309"/>
      <c r="F89" s="1345"/>
      <c r="G89" s="1345"/>
      <c r="H89" s="1345"/>
      <c r="I89" s="1345"/>
      <c r="J89" s="1359"/>
      <c r="K89" s="1359"/>
      <c r="L89" s="1348"/>
      <c r="M89" s="1327"/>
      <c r="N89" s="1288"/>
      <c r="O89" s="1281"/>
      <c r="P89" s="1288"/>
      <c r="Q89" s="1288"/>
      <c r="R89" s="1288"/>
      <c r="S89" s="1288"/>
      <c r="T89" s="1288"/>
      <c r="U89" s="1292"/>
      <c r="V89" s="1293"/>
    </row>
    <row r="90" spans="1:22">
      <c r="A90" s="1303"/>
      <c r="B90" s="1342" t="s">
        <v>107</v>
      </c>
      <c r="C90" s="1281"/>
      <c r="D90" s="1281">
        <v>80195</v>
      </c>
      <c r="E90" s="1281"/>
      <c r="F90" s="1345" t="s">
        <v>130</v>
      </c>
      <c r="G90" s="1345"/>
      <c r="H90" s="1345"/>
      <c r="I90" s="1345"/>
      <c r="J90" s="1359"/>
      <c r="K90" s="1359"/>
      <c r="L90" s="1348"/>
      <c r="M90" s="1327"/>
      <c r="N90" s="1288"/>
      <c r="O90" s="1281"/>
      <c r="P90" s="1288"/>
      <c r="Q90" s="1288"/>
      <c r="R90" s="1288"/>
      <c r="S90" s="1288"/>
      <c r="T90" s="1288"/>
      <c r="U90" s="1292"/>
      <c r="V90" s="1293"/>
    </row>
    <row r="91" spans="1:22">
      <c r="A91" s="1303"/>
      <c r="B91" s="1343"/>
      <c r="C91" s="1344"/>
      <c r="D91" s="1344"/>
      <c r="E91" s="1344"/>
      <c r="F91" s="1346"/>
      <c r="G91" s="1346"/>
      <c r="H91" s="1346"/>
      <c r="I91" s="1346"/>
      <c r="J91" s="1359"/>
      <c r="K91" s="1359"/>
      <c r="L91" s="1348"/>
      <c r="M91" s="1327"/>
      <c r="N91" s="1288"/>
      <c r="O91" s="1281"/>
      <c r="P91" s="1288"/>
      <c r="Q91" s="1288"/>
      <c r="R91" s="1288"/>
      <c r="S91" s="1288"/>
      <c r="T91" s="1288"/>
      <c r="U91" s="1294"/>
      <c r="V91" s="1295"/>
    </row>
    <row r="92" spans="1:22" ht="13.5" thickBot="1">
      <c r="A92" s="1304"/>
      <c r="B92" s="1304" t="s">
        <v>163</v>
      </c>
      <c r="C92" s="1349"/>
      <c r="D92" s="1349"/>
      <c r="E92" s="1349"/>
      <c r="F92" s="1349"/>
      <c r="G92" s="1349"/>
      <c r="H92" s="1349"/>
      <c r="I92" s="1350"/>
      <c r="J92" s="1360"/>
      <c r="K92" s="1359"/>
      <c r="L92" s="1348"/>
      <c r="M92" s="1279" t="s">
        <v>143</v>
      </c>
      <c r="N92" s="1280">
        <f>SUM(P92:T95)</f>
        <v>584520</v>
      </c>
      <c r="O92" s="1281" t="s">
        <v>112</v>
      </c>
      <c r="P92" s="1299">
        <v>389680</v>
      </c>
      <c r="Q92" s="1299">
        <v>194840</v>
      </c>
      <c r="R92" s="1280"/>
      <c r="S92" s="1280"/>
      <c r="T92" s="1296"/>
      <c r="U92" s="1277" t="s">
        <v>144</v>
      </c>
      <c r="V92" s="1311">
        <f>P88</f>
        <v>453064</v>
      </c>
    </row>
    <row r="93" spans="1:22" ht="14.25" thickTop="1" thickBot="1">
      <c r="A93" s="1304"/>
      <c r="B93" s="1351"/>
      <c r="C93" s="1352"/>
      <c r="D93" s="1352"/>
      <c r="E93" s="1352"/>
      <c r="F93" s="1352"/>
      <c r="G93" s="1352"/>
      <c r="H93" s="1352"/>
      <c r="I93" s="1353"/>
      <c r="J93" s="1360"/>
      <c r="K93" s="1359"/>
      <c r="L93" s="1348"/>
      <c r="M93" s="1279"/>
      <c r="N93" s="1281"/>
      <c r="O93" s="1281"/>
      <c r="P93" s="1300"/>
      <c r="Q93" s="1300"/>
      <c r="R93" s="1280"/>
      <c r="S93" s="1280"/>
      <c r="T93" s="1297"/>
      <c r="U93" s="1278"/>
      <c r="V93" s="1312"/>
    </row>
    <row r="94" spans="1:22" ht="14.25" thickTop="1" thickBot="1">
      <c r="A94" s="1304"/>
      <c r="B94" s="1351"/>
      <c r="C94" s="1352"/>
      <c r="D94" s="1352"/>
      <c r="E94" s="1352"/>
      <c r="F94" s="1352"/>
      <c r="G94" s="1352"/>
      <c r="H94" s="1352"/>
      <c r="I94" s="1353"/>
      <c r="J94" s="1360"/>
      <c r="K94" s="1359"/>
      <c r="L94" s="1362">
        <v>0</v>
      </c>
      <c r="M94" s="1279"/>
      <c r="N94" s="1281"/>
      <c r="O94" s="1281"/>
      <c r="P94" s="1300"/>
      <c r="Q94" s="1300"/>
      <c r="R94" s="1280"/>
      <c r="S94" s="1280"/>
      <c r="T94" s="1297"/>
      <c r="U94" s="1278" t="s">
        <v>145</v>
      </c>
      <c r="V94" s="1312">
        <f>Q88</f>
        <v>226532</v>
      </c>
    </row>
    <row r="95" spans="1:22" ht="13.5" thickTop="1">
      <c r="A95" s="1304"/>
      <c r="B95" s="1354"/>
      <c r="C95" s="1355"/>
      <c r="D95" s="1355"/>
      <c r="E95" s="1355"/>
      <c r="F95" s="1355"/>
      <c r="G95" s="1355"/>
      <c r="H95" s="1355"/>
      <c r="I95" s="1356"/>
      <c r="J95" s="1360"/>
      <c r="K95" s="1359"/>
      <c r="L95" s="1362"/>
      <c r="M95" s="1279"/>
      <c r="N95" s="1281"/>
      <c r="O95" s="1281"/>
      <c r="P95" s="1301"/>
      <c r="Q95" s="1301"/>
      <c r="R95" s="1280"/>
      <c r="S95" s="1280"/>
      <c r="T95" s="1364"/>
      <c r="U95" s="1278"/>
      <c r="V95" s="1312"/>
    </row>
    <row r="96" spans="1:22" ht="13.5" thickBot="1">
      <c r="A96" s="1304"/>
      <c r="B96" s="1330" t="s">
        <v>164</v>
      </c>
      <c r="C96" s="1331"/>
      <c r="D96" s="1331"/>
      <c r="E96" s="1331"/>
      <c r="F96" s="1331"/>
      <c r="G96" s="1331"/>
      <c r="H96" s="1331"/>
      <c r="I96" s="1332"/>
      <c r="J96" s="1359"/>
      <c r="K96" s="1359"/>
      <c r="L96" s="1362"/>
      <c r="M96" s="1336" t="s">
        <v>162</v>
      </c>
      <c r="N96" s="1280">
        <f>SUM(P96:T99)</f>
        <v>95076</v>
      </c>
      <c r="O96" s="1281" t="s">
        <v>112</v>
      </c>
      <c r="P96" s="1280">
        <v>63384</v>
      </c>
      <c r="Q96" s="1280">
        <v>31692</v>
      </c>
      <c r="R96" s="1280"/>
      <c r="S96" s="1280"/>
      <c r="T96" s="1296"/>
      <c r="U96" s="1278"/>
      <c r="V96" s="1273"/>
    </row>
    <row r="97" spans="1:22" ht="14.25" thickTop="1" thickBot="1">
      <c r="A97" s="1304"/>
      <c r="B97" s="1330"/>
      <c r="C97" s="1331"/>
      <c r="D97" s="1331"/>
      <c r="E97" s="1331"/>
      <c r="F97" s="1331"/>
      <c r="G97" s="1331"/>
      <c r="H97" s="1331"/>
      <c r="I97" s="1332"/>
      <c r="J97" s="1359"/>
      <c r="K97" s="1359"/>
      <c r="L97" s="1362"/>
      <c r="M97" s="1337"/>
      <c r="N97" s="1281"/>
      <c r="O97" s="1281"/>
      <c r="P97" s="1280"/>
      <c r="Q97" s="1280"/>
      <c r="R97" s="1280"/>
      <c r="S97" s="1280"/>
      <c r="T97" s="1297"/>
      <c r="U97" s="1278"/>
      <c r="V97" s="1273"/>
    </row>
    <row r="98" spans="1:22" ht="14.25" thickTop="1" thickBot="1">
      <c r="A98" s="1304"/>
      <c r="B98" s="1330"/>
      <c r="C98" s="1331"/>
      <c r="D98" s="1331"/>
      <c r="E98" s="1331"/>
      <c r="F98" s="1331"/>
      <c r="G98" s="1331"/>
      <c r="H98" s="1331"/>
      <c r="I98" s="1332"/>
      <c r="J98" s="1359"/>
      <c r="K98" s="1359"/>
      <c r="L98" s="1362"/>
      <c r="M98" s="1337"/>
      <c r="N98" s="1281"/>
      <c r="O98" s="1281"/>
      <c r="P98" s="1280"/>
      <c r="Q98" s="1280"/>
      <c r="R98" s="1280"/>
      <c r="S98" s="1280"/>
      <c r="T98" s="1297"/>
      <c r="U98" s="1274"/>
      <c r="V98" s="1273"/>
    </row>
    <row r="99" spans="1:22" ht="14.25" thickTop="1" thickBot="1">
      <c r="A99" s="1305"/>
      <c r="B99" s="1333"/>
      <c r="C99" s="1334"/>
      <c r="D99" s="1334"/>
      <c r="E99" s="1334"/>
      <c r="F99" s="1334"/>
      <c r="G99" s="1334"/>
      <c r="H99" s="1334"/>
      <c r="I99" s="1335"/>
      <c r="J99" s="1361"/>
      <c r="K99" s="1361"/>
      <c r="L99" s="1363"/>
      <c r="M99" s="1338"/>
      <c r="N99" s="1339"/>
      <c r="O99" s="1339"/>
      <c r="P99" s="1286"/>
      <c r="Q99" s="1286"/>
      <c r="R99" s="1286"/>
      <c r="S99" s="1286"/>
      <c r="T99" s="1297"/>
      <c r="U99" s="1275"/>
      <c r="V99" s="1276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302">
        <v>7</v>
      </c>
      <c r="B101" s="1306" t="s">
        <v>101</v>
      </c>
      <c r="C101" s="1307"/>
      <c r="D101" s="1365" t="s">
        <v>165</v>
      </c>
      <c r="E101" s="1366"/>
      <c r="F101" s="1366"/>
      <c r="G101" s="1366"/>
      <c r="H101" s="1366"/>
      <c r="I101" s="1367"/>
      <c r="J101" s="1358">
        <v>2012</v>
      </c>
      <c r="K101" s="1358">
        <v>2013</v>
      </c>
      <c r="L101" s="1347">
        <f>SUM(N101,L107)</f>
        <v>5243853</v>
      </c>
      <c r="M101" s="1326" t="s">
        <v>120</v>
      </c>
      <c r="N101" s="1287">
        <f>SUM(N105:N112)</f>
        <v>5243853</v>
      </c>
      <c r="O101" s="1329" t="s">
        <v>112</v>
      </c>
      <c r="P101" s="1287">
        <f>SUM(P105:P112)</f>
        <v>2518983</v>
      </c>
      <c r="Q101" s="1287">
        <f t="shared" ref="Q101:T101" si="6">SUM(Q105:Q112)</f>
        <v>2724870</v>
      </c>
      <c r="R101" s="1287">
        <f t="shared" si="6"/>
        <v>0</v>
      </c>
      <c r="S101" s="1287">
        <f t="shared" si="6"/>
        <v>0</v>
      </c>
      <c r="T101" s="1287">
        <f t="shared" si="6"/>
        <v>0</v>
      </c>
      <c r="U101" s="1290">
        <f>SUM(V105:V112)</f>
        <v>5243853</v>
      </c>
      <c r="V101" s="1291"/>
    </row>
    <row r="102" spans="1:22">
      <c r="A102" s="1303"/>
      <c r="B102" s="1308"/>
      <c r="C102" s="1309"/>
      <c r="D102" s="1368"/>
      <c r="E102" s="1369"/>
      <c r="F102" s="1369"/>
      <c r="G102" s="1369"/>
      <c r="H102" s="1369"/>
      <c r="I102" s="1360"/>
      <c r="J102" s="1359"/>
      <c r="K102" s="1359"/>
      <c r="L102" s="1348"/>
      <c r="M102" s="1327"/>
      <c r="N102" s="1288"/>
      <c r="O102" s="1281"/>
      <c r="P102" s="1288"/>
      <c r="Q102" s="1288"/>
      <c r="R102" s="1288"/>
      <c r="S102" s="1288"/>
      <c r="T102" s="1288"/>
      <c r="U102" s="1292"/>
      <c r="V102" s="1293"/>
    </row>
    <row r="103" spans="1:22">
      <c r="A103" s="1303"/>
      <c r="B103" s="1342" t="s">
        <v>107</v>
      </c>
      <c r="C103" s="1281"/>
      <c r="D103" s="1368"/>
      <c r="E103" s="1369"/>
      <c r="F103" s="1369"/>
      <c r="G103" s="1369"/>
      <c r="H103" s="1369"/>
      <c r="I103" s="1360"/>
      <c r="J103" s="1359"/>
      <c r="K103" s="1359"/>
      <c r="L103" s="1348"/>
      <c r="M103" s="1327"/>
      <c r="N103" s="1288"/>
      <c r="O103" s="1281"/>
      <c r="P103" s="1288"/>
      <c r="Q103" s="1288"/>
      <c r="R103" s="1288"/>
      <c r="S103" s="1288"/>
      <c r="T103" s="1288"/>
      <c r="U103" s="1292"/>
      <c r="V103" s="1293"/>
    </row>
    <row r="104" spans="1:22">
      <c r="A104" s="1303"/>
      <c r="B104" s="1343"/>
      <c r="C104" s="1344"/>
      <c r="D104" s="1370"/>
      <c r="E104" s="1371"/>
      <c r="F104" s="1371"/>
      <c r="G104" s="1371"/>
      <c r="H104" s="1371"/>
      <c r="I104" s="1372"/>
      <c r="J104" s="1359"/>
      <c r="K104" s="1359"/>
      <c r="L104" s="1348"/>
      <c r="M104" s="1327"/>
      <c r="N104" s="1288"/>
      <c r="O104" s="1281"/>
      <c r="P104" s="1288"/>
      <c r="Q104" s="1288"/>
      <c r="R104" s="1288"/>
      <c r="S104" s="1288"/>
      <c r="T104" s="1288"/>
      <c r="U104" s="1294"/>
      <c r="V104" s="1295"/>
    </row>
    <row r="105" spans="1:22" ht="13.5" thickBot="1">
      <c r="A105" s="1304"/>
      <c r="B105" s="1304" t="s">
        <v>166</v>
      </c>
      <c r="C105" s="1349"/>
      <c r="D105" s="1349"/>
      <c r="E105" s="1349"/>
      <c r="F105" s="1349"/>
      <c r="G105" s="1349"/>
      <c r="H105" s="1349"/>
      <c r="I105" s="1350"/>
      <c r="J105" s="1360"/>
      <c r="K105" s="1359"/>
      <c r="L105" s="1348"/>
      <c r="M105" s="1279" t="s">
        <v>143</v>
      </c>
      <c r="N105" s="1280">
        <f>SUM(P105:T108)</f>
        <v>0</v>
      </c>
      <c r="O105" s="1281" t="s">
        <v>112</v>
      </c>
      <c r="P105" s="1280"/>
      <c r="Q105" s="1280"/>
      <c r="R105" s="1280"/>
      <c r="S105" s="1280"/>
      <c r="T105" s="1296"/>
      <c r="U105" s="1313" t="s">
        <v>144</v>
      </c>
      <c r="V105" s="1311">
        <f>P101</f>
        <v>2518983</v>
      </c>
    </row>
    <row r="106" spans="1:22" ht="14.25" thickTop="1" thickBot="1">
      <c r="A106" s="1304"/>
      <c r="B106" s="1351"/>
      <c r="C106" s="1352"/>
      <c r="D106" s="1352"/>
      <c r="E106" s="1352"/>
      <c r="F106" s="1352"/>
      <c r="G106" s="1352"/>
      <c r="H106" s="1352"/>
      <c r="I106" s="1353"/>
      <c r="J106" s="1360"/>
      <c r="K106" s="1359"/>
      <c r="L106" s="1348"/>
      <c r="M106" s="1279"/>
      <c r="N106" s="1281"/>
      <c r="O106" s="1281"/>
      <c r="P106" s="1280"/>
      <c r="Q106" s="1280"/>
      <c r="R106" s="1280"/>
      <c r="S106" s="1280"/>
      <c r="T106" s="1297"/>
      <c r="U106" s="1298"/>
      <c r="V106" s="1312"/>
    </row>
    <row r="107" spans="1:22" ht="14.25" thickTop="1" thickBot="1">
      <c r="A107" s="1304"/>
      <c r="B107" s="1351"/>
      <c r="C107" s="1352"/>
      <c r="D107" s="1352"/>
      <c r="E107" s="1352"/>
      <c r="F107" s="1352"/>
      <c r="G107" s="1352"/>
      <c r="H107" s="1352"/>
      <c r="I107" s="1353"/>
      <c r="J107" s="1360"/>
      <c r="K107" s="1359"/>
      <c r="L107" s="1362">
        <v>0</v>
      </c>
      <c r="M107" s="1279"/>
      <c r="N107" s="1281"/>
      <c r="O107" s="1281"/>
      <c r="P107" s="1280"/>
      <c r="Q107" s="1280"/>
      <c r="R107" s="1280"/>
      <c r="S107" s="1280"/>
      <c r="T107" s="1297"/>
      <c r="U107" s="1298" t="s">
        <v>145</v>
      </c>
      <c r="V107" s="1312">
        <f>Q101</f>
        <v>2724870</v>
      </c>
    </row>
    <row r="108" spans="1:22" ht="13.5" thickTop="1">
      <c r="A108" s="1304"/>
      <c r="B108" s="1354"/>
      <c r="C108" s="1355"/>
      <c r="D108" s="1355"/>
      <c r="E108" s="1355"/>
      <c r="F108" s="1355"/>
      <c r="G108" s="1355"/>
      <c r="H108" s="1355"/>
      <c r="I108" s="1356"/>
      <c r="J108" s="1360"/>
      <c r="K108" s="1359"/>
      <c r="L108" s="1362"/>
      <c r="M108" s="1279"/>
      <c r="N108" s="1281"/>
      <c r="O108" s="1281"/>
      <c r="P108" s="1280"/>
      <c r="Q108" s="1280"/>
      <c r="R108" s="1280"/>
      <c r="S108" s="1280"/>
      <c r="T108" s="1364"/>
      <c r="U108" s="1298"/>
      <c r="V108" s="1312"/>
    </row>
    <row r="109" spans="1:22" ht="13.5" thickBot="1">
      <c r="A109" s="1304"/>
      <c r="B109" s="1330" t="s">
        <v>167</v>
      </c>
      <c r="C109" s="1331"/>
      <c r="D109" s="1331"/>
      <c r="E109" s="1331"/>
      <c r="F109" s="1331"/>
      <c r="G109" s="1331"/>
      <c r="H109" s="1331"/>
      <c r="I109" s="1332"/>
      <c r="J109" s="1359"/>
      <c r="K109" s="1359"/>
      <c r="L109" s="1362"/>
      <c r="M109" s="1336" t="s">
        <v>149</v>
      </c>
      <c r="N109" s="1280">
        <f>SUM(P109:T112)</f>
        <v>5243853</v>
      </c>
      <c r="O109" s="1281" t="s">
        <v>112</v>
      </c>
      <c r="P109" s="1280">
        <v>2518983</v>
      </c>
      <c r="Q109" s="1280">
        <v>2724870</v>
      </c>
      <c r="R109" s="1280"/>
      <c r="S109" s="1280"/>
      <c r="T109" s="1296"/>
      <c r="U109" s="1298"/>
      <c r="V109" s="1284"/>
    </row>
    <row r="110" spans="1:22" ht="14.25" thickTop="1" thickBot="1">
      <c r="A110" s="1304"/>
      <c r="B110" s="1330"/>
      <c r="C110" s="1331"/>
      <c r="D110" s="1331"/>
      <c r="E110" s="1331"/>
      <c r="F110" s="1331"/>
      <c r="G110" s="1331"/>
      <c r="H110" s="1331"/>
      <c r="I110" s="1332"/>
      <c r="J110" s="1359"/>
      <c r="K110" s="1359"/>
      <c r="L110" s="1362"/>
      <c r="M110" s="1337"/>
      <c r="N110" s="1281"/>
      <c r="O110" s="1281"/>
      <c r="P110" s="1280"/>
      <c r="Q110" s="1280"/>
      <c r="R110" s="1280"/>
      <c r="S110" s="1280"/>
      <c r="T110" s="1297"/>
      <c r="U110" s="1298"/>
      <c r="V110" s="1284"/>
    </row>
    <row r="111" spans="1:22" ht="14.25" thickTop="1" thickBot="1">
      <c r="A111" s="1304"/>
      <c r="B111" s="1330"/>
      <c r="C111" s="1331"/>
      <c r="D111" s="1331"/>
      <c r="E111" s="1331"/>
      <c r="F111" s="1331"/>
      <c r="G111" s="1331"/>
      <c r="H111" s="1331"/>
      <c r="I111" s="1332"/>
      <c r="J111" s="1359"/>
      <c r="K111" s="1359"/>
      <c r="L111" s="1362"/>
      <c r="M111" s="1337"/>
      <c r="N111" s="1281"/>
      <c r="O111" s="1281"/>
      <c r="P111" s="1280"/>
      <c r="Q111" s="1280"/>
      <c r="R111" s="1280"/>
      <c r="S111" s="1280"/>
      <c r="T111" s="1297"/>
      <c r="U111" s="1282"/>
      <c r="V111" s="1284"/>
    </row>
    <row r="112" spans="1:22" ht="14.25" thickTop="1" thickBot="1">
      <c r="A112" s="1305"/>
      <c r="B112" s="1333"/>
      <c r="C112" s="1334"/>
      <c r="D112" s="1334"/>
      <c r="E112" s="1334"/>
      <c r="F112" s="1334"/>
      <c r="G112" s="1334"/>
      <c r="H112" s="1334"/>
      <c r="I112" s="1335"/>
      <c r="J112" s="1361"/>
      <c r="K112" s="1361"/>
      <c r="L112" s="1363"/>
      <c r="M112" s="1338"/>
      <c r="N112" s="1339"/>
      <c r="O112" s="1339"/>
      <c r="P112" s="1286"/>
      <c r="Q112" s="1286"/>
      <c r="R112" s="1286"/>
      <c r="S112" s="1286"/>
      <c r="T112" s="1297"/>
      <c r="U112" s="1283"/>
      <c r="V112" s="1285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302">
        <v>8</v>
      </c>
      <c r="B114" s="1306" t="s">
        <v>101</v>
      </c>
      <c r="C114" s="1307"/>
      <c r="D114" s="1307">
        <v>750</v>
      </c>
      <c r="E114" s="1307"/>
      <c r="F114" s="1357"/>
      <c r="G114" s="1357"/>
      <c r="H114" s="1357"/>
      <c r="I114" s="1357"/>
      <c r="J114" s="1358">
        <v>2011</v>
      </c>
      <c r="K114" s="1358">
        <v>2013</v>
      </c>
      <c r="L114" s="1347">
        <f>SUM(N114,L120)</f>
        <v>593380</v>
      </c>
      <c r="M114" s="1326" t="s">
        <v>120</v>
      </c>
      <c r="N114" s="1287">
        <f>SUM(N118:N125)</f>
        <v>586000</v>
      </c>
      <c r="O114" s="1329" t="s">
        <v>112</v>
      </c>
      <c r="P114" s="1287">
        <f>SUM(P118:P125)</f>
        <v>288000</v>
      </c>
      <c r="Q114" s="1287">
        <f t="shared" ref="Q114:T114" si="7">SUM(Q118:Q125)</f>
        <v>298000</v>
      </c>
      <c r="R114" s="1287">
        <f t="shared" si="7"/>
        <v>0</v>
      </c>
      <c r="S114" s="1287">
        <f t="shared" si="7"/>
        <v>0</v>
      </c>
      <c r="T114" s="1287">
        <f t="shared" si="7"/>
        <v>0</v>
      </c>
      <c r="U114" s="1290">
        <f>SUM(V118:V125)</f>
        <v>586000</v>
      </c>
      <c r="V114" s="1291"/>
    </row>
    <row r="115" spans="1:22">
      <c r="A115" s="1303"/>
      <c r="B115" s="1308"/>
      <c r="C115" s="1309"/>
      <c r="D115" s="1309"/>
      <c r="E115" s="1309"/>
      <c r="F115" s="1345"/>
      <c r="G115" s="1345"/>
      <c r="H115" s="1345"/>
      <c r="I115" s="1345"/>
      <c r="J115" s="1359"/>
      <c r="K115" s="1359"/>
      <c r="L115" s="1348"/>
      <c r="M115" s="1327"/>
      <c r="N115" s="1288"/>
      <c r="O115" s="1281"/>
      <c r="P115" s="1288"/>
      <c r="Q115" s="1288"/>
      <c r="R115" s="1288"/>
      <c r="S115" s="1288"/>
      <c r="T115" s="1288"/>
      <c r="U115" s="1292"/>
      <c r="V115" s="1293"/>
    </row>
    <row r="116" spans="1:22">
      <c r="A116" s="1303"/>
      <c r="B116" s="1342" t="s">
        <v>107</v>
      </c>
      <c r="C116" s="1281"/>
      <c r="D116" s="1281">
        <v>75075</v>
      </c>
      <c r="E116" s="1281"/>
      <c r="F116" s="1345"/>
      <c r="G116" s="1345"/>
      <c r="H116" s="1345"/>
      <c r="I116" s="1345"/>
      <c r="J116" s="1359"/>
      <c r="K116" s="1359"/>
      <c r="L116" s="1348"/>
      <c r="M116" s="1327"/>
      <c r="N116" s="1288"/>
      <c r="O116" s="1281"/>
      <c r="P116" s="1288"/>
      <c r="Q116" s="1288"/>
      <c r="R116" s="1288"/>
      <c r="S116" s="1288"/>
      <c r="T116" s="1288"/>
      <c r="U116" s="1292"/>
      <c r="V116" s="1293"/>
    </row>
    <row r="117" spans="1:22">
      <c r="A117" s="1303"/>
      <c r="B117" s="1343"/>
      <c r="C117" s="1344"/>
      <c r="D117" s="1344"/>
      <c r="E117" s="1344"/>
      <c r="F117" s="1346"/>
      <c r="G117" s="1346"/>
      <c r="H117" s="1346"/>
      <c r="I117" s="1346"/>
      <c r="J117" s="1359"/>
      <c r="K117" s="1359"/>
      <c r="L117" s="1348"/>
      <c r="M117" s="1327"/>
      <c r="N117" s="1288"/>
      <c r="O117" s="1281"/>
      <c r="P117" s="1288"/>
      <c r="Q117" s="1288"/>
      <c r="R117" s="1288"/>
      <c r="S117" s="1288"/>
      <c r="T117" s="1288"/>
      <c r="U117" s="1294"/>
      <c r="V117" s="1295"/>
    </row>
    <row r="118" spans="1:22" ht="13.5" thickBot="1">
      <c r="A118" s="1304"/>
      <c r="B118" s="1304" t="s">
        <v>168</v>
      </c>
      <c r="C118" s="1349"/>
      <c r="D118" s="1349"/>
      <c r="E118" s="1349"/>
      <c r="F118" s="1349"/>
      <c r="G118" s="1349"/>
      <c r="H118" s="1349"/>
      <c r="I118" s="1350"/>
      <c r="J118" s="1360"/>
      <c r="K118" s="1359"/>
      <c r="L118" s="1348"/>
      <c r="M118" s="1279" t="s">
        <v>143</v>
      </c>
      <c r="N118" s="1280">
        <f>SUM(P118:T121)</f>
        <v>498100</v>
      </c>
      <c r="O118" s="1281" t="s">
        <v>112</v>
      </c>
      <c r="P118" s="1280">
        <v>244800</v>
      </c>
      <c r="Q118" s="1280">
        <v>253300</v>
      </c>
      <c r="R118" s="1280"/>
      <c r="S118" s="1280"/>
      <c r="T118" s="1296"/>
      <c r="U118" s="1313" t="s">
        <v>144</v>
      </c>
      <c r="V118" s="1311">
        <f>P114</f>
        <v>288000</v>
      </c>
    </row>
    <row r="119" spans="1:22" ht="14.25" thickTop="1" thickBot="1">
      <c r="A119" s="1304"/>
      <c r="B119" s="1351"/>
      <c r="C119" s="1352"/>
      <c r="D119" s="1352"/>
      <c r="E119" s="1352"/>
      <c r="F119" s="1352"/>
      <c r="G119" s="1352"/>
      <c r="H119" s="1352"/>
      <c r="I119" s="1353"/>
      <c r="J119" s="1360"/>
      <c r="K119" s="1359"/>
      <c r="L119" s="1348"/>
      <c r="M119" s="1279"/>
      <c r="N119" s="1281"/>
      <c r="O119" s="1281"/>
      <c r="P119" s="1280"/>
      <c r="Q119" s="1280"/>
      <c r="R119" s="1280"/>
      <c r="S119" s="1280"/>
      <c r="T119" s="1297"/>
      <c r="U119" s="1298"/>
      <c r="V119" s="1312"/>
    </row>
    <row r="120" spans="1:22" ht="14.25" thickTop="1" thickBot="1">
      <c r="A120" s="1304"/>
      <c r="B120" s="1351"/>
      <c r="C120" s="1352"/>
      <c r="D120" s="1352"/>
      <c r="E120" s="1352"/>
      <c r="F120" s="1352"/>
      <c r="G120" s="1352"/>
      <c r="H120" s="1352"/>
      <c r="I120" s="1353"/>
      <c r="J120" s="1360"/>
      <c r="K120" s="1359"/>
      <c r="L120" s="1362">
        <v>7380</v>
      </c>
      <c r="M120" s="1279"/>
      <c r="N120" s="1281"/>
      <c r="O120" s="1281"/>
      <c r="P120" s="1280"/>
      <c r="Q120" s="1280"/>
      <c r="R120" s="1280"/>
      <c r="S120" s="1280"/>
      <c r="T120" s="1297"/>
      <c r="U120" s="1298" t="s">
        <v>145</v>
      </c>
      <c r="V120" s="1312">
        <f>Q114</f>
        <v>298000</v>
      </c>
    </row>
    <row r="121" spans="1:22" ht="13.5" thickTop="1">
      <c r="A121" s="1304"/>
      <c r="B121" s="1354"/>
      <c r="C121" s="1355"/>
      <c r="D121" s="1355"/>
      <c r="E121" s="1355"/>
      <c r="F121" s="1355"/>
      <c r="G121" s="1355"/>
      <c r="H121" s="1355"/>
      <c r="I121" s="1356"/>
      <c r="J121" s="1360"/>
      <c r="K121" s="1359"/>
      <c r="L121" s="1362"/>
      <c r="M121" s="1279"/>
      <c r="N121" s="1281"/>
      <c r="O121" s="1281"/>
      <c r="P121" s="1280"/>
      <c r="Q121" s="1280"/>
      <c r="R121" s="1280"/>
      <c r="S121" s="1280"/>
      <c r="T121" s="1364"/>
      <c r="U121" s="1298"/>
      <c r="V121" s="1312"/>
    </row>
    <row r="122" spans="1:22" ht="13.5" thickBot="1">
      <c r="A122" s="1304"/>
      <c r="B122" s="1330" t="s">
        <v>167</v>
      </c>
      <c r="C122" s="1331"/>
      <c r="D122" s="1331"/>
      <c r="E122" s="1331"/>
      <c r="F122" s="1331"/>
      <c r="G122" s="1331"/>
      <c r="H122" s="1331"/>
      <c r="I122" s="1332"/>
      <c r="J122" s="1359"/>
      <c r="K122" s="1359"/>
      <c r="L122" s="1362"/>
      <c r="M122" s="1336" t="s">
        <v>149</v>
      </c>
      <c r="N122" s="1280">
        <f>SUM(P122:T125)</f>
        <v>87900</v>
      </c>
      <c r="O122" s="1281" t="s">
        <v>112</v>
      </c>
      <c r="P122" s="1280">
        <v>43200</v>
      </c>
      <c r="Q122" s="1280">
        <v>44700</v>
      </c>
      <c r="R122" s="1280"/>
      <c r="S122" s="1280"/>
      <c r="T122" s="1296"/>
      <c r="U122" s="1298"/>
      <c r="V122" s="1284"/>
    </row>
    <row r="123" spans="1:22" ht="14.25" thickTop="1" thickBot="1">
      <c r="A123" s="1304"/>
      <c r="B123" s="1330"/>
      <c r="C123" s="1331"/>
      <c r="D123" s="1331"/>
      <c r="E123" s="1331"/>
      <c r="F123" s="1331"/>
      <c r="G123" s="1331"/>
      <c r="H123" s="1331"/>
      <c r="I123" s="1332"/>
      <c r="J123" s="1359"/>
      <c r="K123" s="1359"/>
      <c r="L123" s="1362"/>
      <c r="M123" s="1337"/>
      <c r="N123" s="1281"/>
      <c r="O123" s="1281"/>
      <c r="P123" s="1280"/>
      <c r="Q123" s="1280"/>
      <c r="R123" s="1280"/>
      <c r="S123" s="1280"/>
      <c r="T123" s="1297"/>
      <c r="U123" s="1298"/>
      <c r="V123" s="1284"/>
    </row>
    <row r="124" spans="1:22" ht="14.25" thickTop="1" thickBot="1">
      <c r="A124" s="1304"/>
      <c r="B124" s="1330"/>
      <c r="C124" s="1331"/>
      <c r="D124" s="1331"/>
      <c r="E124" s="1331"/>
      <c r="F124" s="1331"/>
      <c r="G124" s="1331"/>
      <c r="H124" s="1331"/>
      <c r="I124" s="1332"/>
      <c r="J124" s="1359"/>
      <c r="K124" s="1359"/>
      <c r="L124" s="1362"/>
      <c r="M124" s="1337"/>
      <c r="N124" s="1281"/>
      <c r="O124" s="1281"/>
      <c r="P124" s="1280"/>
      <c r="Q124" s="1280"/>
      <c r="R124" s="1280"/>
      <c r="S124" s="1280"/>
      <c r="T124" s="1297"/>
      <c r="U124" s="1282"/>
      <c r="V124" s="1284"/>
    </row>
    <row r="125" spans="1:22" ht="14.25" thickTop="1" thickBot="1">
      <c r="A125" s="1305"/>
      <c r="B125" s="1333"/>
      <c r="C125" s="1334"/>
      <c r="D125" s="1334"/>
      <c r="E125" s="1334"/>
      <c r="F125" s="1334"/>
      <c r="G125" s="1334"/>
      <c r="H125" s="1334"/>
      <c r="I125" s="1335"/>
      <c r="J125" s="1361"/>
      <c r="K125" s="1361"/>
      <c r="L125" s="1363"/>
      <c r="M125" s="1338"/>
      <c r="N125" s="1339"/>
      <c r="O125" s="1339"/>
      <c r="P125" s="1286"/>
      <c r="Q125" s="1286"/>
      <c r="R125" s="1286"/>
      <c r="S125" s="1286"/>
      <c r="T125" s="1297"/>
      <c r="U125" s="1283"/>
      <c r="V125" s="1285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314" t="s">
        <v>135</v>
      </c>
      <c r="B128" s="1315"/>
      <c r="C128" s="1315"/>
      <c r="D128" s="1315"/>
      <c r="E128" s="1315"/>
      <c r="F128" s="1315"/>
      <c r="G128" s="1315"/>
      <c r="H128" s="1315"/>
      <c r="I128" s="1315"/>
      <c r="J128" s="1315"/>
      <c r="K128" s="1316"/>
      <c r="L128" s="1323">
        <f>SUM(N128,L136)</f>
        <v>11745661</v>
      </c>
      <c r="M128" s="1326" t="s">
        <v>120</v>
      </c>
      <c r="N128" s="1287">
        <f>SUM(N132:N139)</f>
        <v>8570141</v>
      </c>
      <c r="O128" s="1329" t="s">
        <v>112</v>
      </c>
      <c r="P128" s="1287">
        <f>IF(SUM(P132:P139)=(P114+P101+P88+P75+P62+P45+P32+P19),SUM(P132:P139),"błąd")</f>
        <v>4504670</v>
      </c>
      <c r="Q128" s="1287">
        <f t="shared" ref="Q128:T128" si="8">IF(SUM(Q132:Q139)=(Q114+Q101+Q88+Q75+Q62+Q45+Q32+Q19),SUM(Q132:Q139),"błąd")</f>
        <v>4065471</v>
      </c>
      <c r="R128" s="1287">
        <f t="shared" si="8"/>
        <v>0</v>
      </c>
      <c r="S128" s="1287">
        <f t="shared" si="8"/>
        <v>0</v>
      </c>
      <c r="T128" s="1287">
        <f t="shared" si="8"/>
        <v>0</v>
      </c>
      <c r="U128" s="1290">
        <f>SUM(V132:V139)</f>
        <v>8570141</v>
      </c>
      <c r="V128" s="1291"/>
    </row>
    <row r="129" spans="1:22">
      <c r="A129" s="1317"/>
      <c r="B129" s="1318"/>
      <c r="C129" s="1318"/>
      <c r="D129" s="1318"/>
      <c r="E129" s="1318"/>
      <c r="F129" s="1318"/>
      <c r="G129" s="1318"/>
      <c r="H129" s="1318"/>
      <c r="I129" s="1318"/>
      <c r="J129" s="1318"/>
      <c r="K129" s="1319"/>
      <c r="L129" s="1324"/>
      <c r="M129" s="1327"/>
      <c r="N129" s="1288"/>
      <c r="O129" s="1281"/>
      <c r="P129" s="1288"/>
      <c r="Q129" s="1288"/>
      <c r="R129" s="1288"/>
      <c r="S129" s="1288"/>
      <c r="T129" s="1288"/>
      <c r="U129" s="1292"/>
      <c r="V129" s="1293"/>
    </row>
    <row r="130" spans="1:22">
      <c r="A130" s="1317"/>
      <c r="B130" s="1318"/>
      <c r="C130" s="1318"/>
      <c r="D130" s="1318"/>
      <c r="E130" s="1318"/>
      <c r="F130" s="1318"/>
      <c r="G130" s="1318"/>
      <c r="H130" s="1318"/>
      <c r="I130" s="1318"/>
      <c r="J130" s="1318"/>
      <c r="K130" s="1319"/>
      <c r="L130" s="1324"/>
      <c r="M130" s="1327"/>
      <c r="N130" s="1288"/>
      <c r="O130" s="1281"/>
      <c r="P130" s="1288"/>
      <c r="Q130" s="1288"/>
      <c r="R130" s="1288"/>
      <c r="S130" s="1288"/>
      <c r="T130" s="1288"/>
      <c r="U130" s="1292"/>
      <c r="V130" s="1293"/>
    </row>
    <row r="131" spans="1:22">
      <c r="A131" s="1317"/>
      <c r="B131" s="1318"/>
      <c r="C131" s="1318"/>
      <c r="D131" s="1318"/>
      <c r="E131" s="1318"/>
      <c r="F131" s="1318"/>
      <c r="G131" s="1318"/>
      <c r="H131" s="1318"/>
      <c r="I131" s="1318"/>
      <c r="J131" s="1318"/>
      <c r="K131" s="1319"/>
      <c r="L131" s="1324"/>
      <c r="M131" s="1328"/>
      <c r="N131" s="1289"/>
      <c r="O131" s="1281"/>
      <c r="P131" s="1289"/>
      <c r="Q131" s="1289"/>
      <c r="R131" s="1289"/>
      <c r="S131" s="1289"/>
      <c r="T131" s="1289"/>
      <c r="U131" s="1294"/>
      <c r="V131" s="1295"/>
    </row>
    <row r="132" spans="1:22">
      <c r="A132" s="1317"/>
      <c r="B132" s="1318"/>
      <c r="C132" s="1318"/>
      <c r="D132" s="1318"/>
      <c r="E132" s="1318"/>
      <c r="F132" s="1318"/>
      <c r="G132" s="1318"/>
      <c r="H132" s="1318"/>
      <c r="I132" s="1318"/>
      <c r="J132" s="1318"/>
      <c r="K132" s="1319"/>
      <c r="L132" s="1325"/>
      <c r="M132" s="1279" t="s">
        <v>143</v>
      </c>
      <c r="N132" s="1280">
        <f>SUM(P132:T135)</f>
        <v>2817005</v>
      </c>
      <c r="O132" s="1281" t="s">
        <v>112</v>
      </c>
      <c r="P132" s="1280">
        <f>SUM(P53,P23,P36,P92,P66,P79,P105,P118)</f>
        <v>1686405</v>
      </c>
      <c r="Q132" s="1280">
        <f>SUM(Q53,Q23,Q36,Q92,Q66,Q79,Q105,Q118)</f>
        <v>1130600</v>
      </c>
      <c r="R132" s="1299">
        <f t="shared" ref="R132:T132" si="9">SUM(R45,R53,R36,R92,R118)</f>
        <v>0</v>
      </c>
      <c r="S132" s="1299">
        <f t="shared" si="9"/>
        <v>0</v>
      </c>
      <c r="T132" s="1299">
        <f t="shared" si="9"/>
        <v>0</v>
      </c>
      <c r="U132" s="1277" t="s">
        <v>144</v>
      </c>
      <c r="V132" s="1311">
        <f>P128</f>
        <v>4504670</v>
      </c>
    </row>
    <row r="133" spans="1:22">
      <c r="A133" s="1317"/>
      <c r="B133" s="1318"/>
      <c r="C133" s="1318"/>
      <c r="D133" s="1318"/>
      <c r="E133" s="1318"/>
      <c r="F133" s="1318"/>
      <c r="G133" s="1318"/>
      <c r="H133" s="1318"/>
      <c r="I133" s="1318"/>
      <c r="J133" s="1318"/>
      <c r="K133" s="1319"/>
      <c r="L133" s="1325"/>
      <c r="M133" s="1279"/>
      <c r="N133" s="1280"/>
      <c r="O133" s="1281"/>
      <c r="P133" s="1280"/>
      <c r="Q133" s="1280"/>
      <c r="R133" s="1300"/>
      <c r="S133" s="1300"/>
      <c r="T133" s="1300"/>
      <c r="U133" s="1278"/>
      <c r="V133" s="1312"/>
    </row>
    <row r="134" spans="1:22">
      <c r="A134" s="1317"/>
      <c r="B134" s="1318"/>
      <c r="C134" s="1318"/>
      <c r="D134" s="1318"/>
      <c r="E134" s="1318"/>
      <c r="F134" s="1318"/>
      <c r="G134" s="1318"/>
      <c r="H134" s="1318"/>
      <c r="I134" s="1318"/>
      <c r="J134" s="1318"/>
      <c r="K134" s="1319"/>
      <c r="L134" s="1325"/>
      <c r="M134" s="1279"/>
      <c r="N134" s="1280"/>
      <c r="O134" s="1281"/>
      <c r="P134" s="1280"/>
      <c r="Q134" s="1280"/>
      <c r="R134" s="1300"/>
      <c r="S134" s="1300"/>
      <c r="T134" s="1300"/>
      <c r="U134" s="1278" t="s">
        <v>145</v>
      </c>
      <c r="V134" s="1312">
        <f>Q128</f>
        <v>4065471</v>
      </c>
    </row>
    <row r="135" spans="1:22">
      <c r="A135" s="1317"/>
      <c r="B135" s="1318"/>
      <c r="C135" s="1318"/>
      <c r="D135" s="1318"/>
      <c r="E135" s="1318"/>
      <c r="F135" s="1318"/>
      <c r="G135" s="1318"/>
      <c r="H135" s="1318"/>
      <c r="I135" s="1318"/>
      <c r="J135" s="1318"/>
      <c r="K135" s="1319"/>
      <c r="L135" s="1325"/>
      <c r="M135" s="1279"/>
      <c r="N135" s="1280"/>
      <c r="O135" s="1281"/>
      <c r="P135" s="1280"/>
      <c r="Q135" s="1280"/>
      <c r="R135" s="1301"/>
      <c r="S135" s="1301"/>
      <c r="T135" s="1301"/>
      <c r="U135" s="1278"/>
      <c r="V135" s="1312"/>
    </row>
    <row r="136" spans="1:22">
      <c r="A136" s="1317"/>
      <c r="B136" s="1318"/>
      <c r="C136" s="1318"/>
      <c r="D136" s="1318"/>
      <c r="E136" s="1318"/>
      <c r="F136" s="1318"/>
      <c r="G136" s="1318"/>
      <c r="H136" s="1318"/>
      <c r="I136" s="1318"/>
      <c r="J136" s="1318"/>
      <c r="K136" s="1319"/>
      <c r="L136" s="1340">
        <f>L25+L38+L53+L68+L81+L94+L107+L120</f>
        <v>3175520</v>
      </c>
      <c r="M136" s="1336" t="s">
        <v>156</v>
      </c>
      <c r="N136" s="1280">
        <f>SUM(P136:T139)</f>
        <v>5753136</v>
      </c>
      <c r="O136" s="1281" t="s">
        <v>112</v>
      </c>
      <c r="P136" s="1299">
        <f>SUM(P49,P57,P40,P96,P70,P83,P109,P122)</f>
        <v>2818265</v>
      </c>
      <c r="Q136" s="1299">
        <f>SUM(Q49,Q57,Q40,Q96,Q70,Q83,Q109,Q122)</f>
        <v>2934871</v>
      </c>
      <c r="R136" s="1300">
        <f t="shared" ref="R136:T136" si="10">SUM(R49,R57,R40,R96,R122)</f>
        <v>0</v>
      </c>
      <c r="S136" s="1300">
        <f t="shared" si="10"/>
        <v>0</v>
      </c>
      <c r="T136" s="1300">
        <f t="shared" si="10"/>
        <v>0</v>
      </c>
      <c r="U136" s="1278" t="s">
        <v>154</v>
      </c>
      <c r="V136" s="1273">
        <f>R128</f>
        <v>0</v>
      </c>
    </row>
    <row r="137" spans="1:22">
      <c r="A137" s="1317"/>
      <c r="B137" s="1318"/>
      <c r="C137" s="1318"/>
      <c r="D137" s="1318"/>
      <c r="E137" s="1318"/>
      <c r="F137" s="1318"/>
      <c r="G137" s="1318"/>
      <c r="H137" s="1318"/>
      <c r="I137" s="1318"/>
      <c r="J137" s="1318"/>
      <c r="K137" s="1319"/>
      <c r="L137" s="1340"/>
      <c r="M137" s="1337"/>
      <c r="N137" s="1280"/>
      <c r="O137" s="1281"/>
      <c r="P137" s="1300"/>
      <c r="Q137" s="1300"/>
      <c r="R137" s="1300"/>
      <c r="S137" s="1300"/>
      <c r="T137" s="1300"/>
      <c r="U137" s="1278"/>
      <c r="V137" s="1273"/>
    </row>
    <row r="138" spans="1:22">
      <c r="A138" s="1317"/>
      <c r="B138" s="1318"/>
      <c r="C138" s="1318"/>
      <c r="D138" s="1318"/>
      <c r="E138" s="1318"/>
      <c r="F138" s="1318"/>
      <c r="G138" s="1318"/>
      <c r="H138" s="1318"/>
      <c r="I138" s="1318"/>
      <c r="J138" s="1318"/>
      <c r="K138" s="1319"/>
      <c r="L138" s="1340"/>
      <c r="M138" s="1337"/>
      <c r="N138" s="1280"/>
      <c r="O138" s="1281"/>
      <c r="P138" s="1300"/>
      <c r="Q138" s="1300"/>
      <c r="R138" s="1300"/>
      <c r="S138" s="1300"/>
      <c r="T138" s="1300"/>
      <c r="U138" s="1274"/>
      <c r="V138" s="1273">
        <f>S128</f>
        <v>0</v>
      </c>
    </row>
    <row r="139" spans="1:22" ht="13.5" thickBot="1">
      <c r="A139" s="1320"/>
      <c r="B139" s="1321"/>
      <c r="C139" s="1321"/>
      <c r="D139" s="1321"/>
      <c r="E139" s="1321"/>
      <c r="F139" s="1321"/>
      <c r="G139" s="1321"/>
      <c r="H139" s="1321"/>
      <c r="I139" s="1321"/>
      <c r="J139" s="1321"/>
      <c r="K139" s="1322"/>
      <c r="L139" s="1341"/>
      <c r="M139" s="1338"/>
      <c r="N139" s="1286"/>
      <c r="O139" s="1339"/>
      <c r="P139" s="1296"/>
      <c r="Q139" s="1296"/>
      <c r="R139" s="1296"/>
      <c r="S139" s="1296"/>
      <c r="T139" s="1296"/>
      <c r="U139" s="1275"/>
      <c r="V139" s="1276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05"/>
      <c r="Q141" s="605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4"/>
  <sheetViews>
    <sheetView workbookViewId="0">
      <selection activeCell="K6" sqref="K6"/>
    </sheetView>
  </sheetViews>
  <sheetFormatPr defaultRowHeight="12.75"/>
  <cols>
    <col min="1" max="1" width="1.140625" customWidth="1"/>
    <col min="2" max="2" width="8.85546875" bestFit="1" customWidth="1"/>
    <col min="3" max="3" width="87.42578125" customWidth="1"/>
    <col min="4" max="10" width="9.140625" hidden="1" customWidth="1"/>
    <col min="11" max="12" width="15.5703125" customWidth="1"/>
    <col min="13" max="13" width="15.85546875" customWidth="1"/>
    <col min="14" max="14" width="14.85546875" customWidth="1"/>
    <col min="15" max="15" width="14.28515625" customWidth="1"/>
    <col min="16" max="16" width="13.28515625" customWidth="1"/>
    <col min="17" max="17" width="12.28515625" customWidth="1"/>
  </cols>
  <sheetData>
    <row r="3" spans="2:18" s="1221" customFormat="1">
      <c r="B3" s="1222" t="s">
        <v>107</v>
      </c>
      <c r="C3" s="1222" t="s">
        <v>514</v>
      </c>
      <c r="D3" s="1222"/>
      <c r="E3" s="1222"/>
      <c r="F3" s="1222"/>
      <c r="G3" s="1222"/>
      <c r="H3" s="1222"/>
      <c r="I3" s="1222"/>
      <c r="J3" s="1222"/>
      <c r="K3" s="1222">
        <v>2013</v>
      </c>
      <c r="L3" s="1222">
        <v>2014</v>
      </c>
      <c r="M3" s="1222" t="s">
        <v>515</v>
      </c>
      <c r="N3" s="1222" t="s">
        <v>516</v>
      </c>
      <c r="O3" s="1222" t="s">
        <v>519</v>
      </c>
      <c r="P3" s="1222" t="s">
        <v>517</v>
      </c>
      <c r="Q3" s="1222" t="s">
        <v>518</v>
      </c>
    </row>
    <row r="4" spans="2:18" ht="13.5" customHeight="1"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</row>
    <row r="5" spans="2:18" ht="35.25" customHeight="1">
      <c r="B5" s="843">
        <v>70095</v>
      </c>
      <c r="C5" s="2541" t="s">
        <v>512</v>
      </c>
      <c r="D5" s="2541"/>
      <c r="E5" s="2541"/>
      <c r="F5" s="2541"/>
      <c r="G5" s="2541"/>
      <c r="H5" s="2541"/>
      <c r="I5" s="2541"/>
      <c r="J5" s="2541"/>
      <c r="K5" s="1223">
        <v>560000</v>
      </c>
      <c r="L5" s="1223">
        <f>SUM(M5:Q5)</f>
        <v>2228320</v>
      </c>
      <c r="M5" s="1224">
        <v>968320</v>
      </c>
      <c r="N5" s="1224"/>
      <c r="O5" s="1224">
        <v>1260000</v>
      </c>
      <c r="P5" s="1224"/>
      <c r="Q5" s="1224"/>
      <c r="R5" s="1225"/>
    </row>
    <row r="6" spans="2:18" ht="35.25" customHeight="1">
      <c r="B6" s="843">
        <v>92118</v>
      </c>
      <c r="C6" s="2541" t="s">
        <v>513</v>
      </c>
      <c r="D6" s="2541"/>
      <c r="E6" s="2541"/>
      <c r="F6" s="2541"/>
      <c r="G6" s="2541"/>
      <c r="H6" s="2541"/>
      <c r="I6" s="2541"/>
      <c r="J6" s="2541"/>
      <c r="K6" s="1223"/>
      <c r="L6" s="1223">
        <f t="shared" ref="L6:L22" si="0">SUM(M6:Q6)</f>
        <v>0</v>
      </c>
      <c r="M6" s="1224"/>
      <c r="N6" s="1224"/>
      <c r="O6" s="1224"/>
      <c r="P6" s="1224"/>
      <c r="Q6" s="1224"/>
      <c r="R6" s="1225"/>
    </row>
    <row r="7" spans="2:18" ht="35.25" customHeight="1">
      <c r="B7" s="843">
        <v>60016</v>
      </c>
      <c r="C7" s="2541" t="s">
        <v>126</v>
      </c>
      <c r="D7" s="2541"/>
      <c r="E7" s="2541"/>
      <c r="F7" s="2541"/>
      <c r="G7" s="2541"/>
      <c r="H7" s="2541"/>
      <c r="I7" s="2541"/>
      <c r="J7" s="2541"/>
      <c r="K7" s="1223"/>
      <c r="L7" s="1223">
        <f t="shared" si="0"/>
        <v>0</v>
      </c>
      <c r="M7" s="1224"/>
      <c r="N7" s="1224"/>
      <c r="O7" s="1224"/>
      <c r="P7" s="1224"/>
      <c r="Q7" s="1224"/>
      <c r="R7" s="1225"/>
    </row>
    <row r="8" spans="2:18" ht="35.25" customHeight="1">
      <c r="B8" s="843">
        <v>92601</v>
      </c>
      <c r="C8" s="2541" t="s">
        <v>129</v>
      </c>
      <c r="D8" s="2541"/>
      <c r="E8" s="2541"/>
      <c r="F8" s="2541"/>
      <c r="G8" s="2541"/>
      <c r="H8" s="2541"/>
      <c r="I8" s="2541"/>
      <c r="J8" s="2541"/>
      <c r="K8" s="1223"/>
      <c r="L8" s="1223">
        <f t="shared" si="0"/>
        <v>0</v>
      </c>
      <c r="M8" s="1224"/>
      <c r="N8" s="1224"/>
      <c r="O8" s="1224"/>
      <c r="P8" s="1224"/>
      <c r="Q8" s="1224"/>
      <c r="R8" s="1225"/>
    </row>
    <row r="9" spans="2:18" ht="35.25" customHeight="1">
      <c r="B9" s="843">
        <v>75023</v>
      </c>
      <c r="C9" s="2541" t="s">
        <v>134</v>
      </c>
      <c r="D9" s="2541"/>
      <c r="E9" s="2541"/>
      <c r="F9" s="2541"/>
      <c r="G9" s="2541"/>
      <c r="H9" s="2541"/>
      <c r="I9" s="2541"/>
      <c r="J9" s="2541"/>
      <c r="K9" s="1223"/>
      <c r="L9" s="1223">
        <f t="shared" si="0"/>
        <v>0</v>
      </c>
      <c r="M9" s="1224"/>
      <c r="N9" s="1224"/>
      <c r="O9" s="1224"/>
      <c r="P9" s="1224"/>
      <c r="Q9" s="1224"/>
      <c r="R9" s="1225"/>
    </row>
    <row r="10" spans="2:18" ht="35.25" customHeight="1">
      <c r="B10" s="843">
        <v>90002</v>
      </c>
      <c r="C10" s="2541" t="s">
        <v>325</v>
      </c>
      <c r="D10" s="2541"/>
      <c r="E10" s="2541"/>
      <c r="F10" s="2541"/>
      <c r="G10" s="2541"/>
      <c r="H10" s="2541"/>
      <c r="I10" s="2541"/>
      <c r="J10" s="2541"/>
      <c r="K10" s="1223"/>
      <c r="L10" s="1223">
        <f t="shared" si="0"/>
        <v>0</v>
      </c>
      <c r="M10" s="1224"/>
      <c r="N10" s="1224"/>
      <c r="O10" s="1224"/>
      <c r="P10" s="1224"/>
      <c r="Q10" s="1224"/>
      <c r="R10" s="1225"/>
    </row>
    <row r="11" spans="2:18" ht="35.25" customHeight="1">
      <c r="B11" s="843">
        <v>60013</v>
      </c>
      <c r="C11" s="2541" t="s">
        <v>358</v>
      </c>
      <c r="D11" s="2541"/>
      <c r="E11" s="2541"/>
      <c r="F11" s="2541"/>
      <c r="G11" s="2541"/>
      <c r="H11" s="2541"/>
      <c r="I11" s="2541"/>
      <c r="J11" s="2541"/>
      <c r="K11" s="1223"/>
      <c r="L11" s="1223">
        <f t="shared" si="0"/>
        <v>0</v>
      </c>
      <c r="M11" s="1224"/>
      <c r="N11" s="1224"/>
      <c r="O11" s="1224"/>
      <c r="P11" s="1224"/>
      <c r="Q11" s="1224"/>
      <c r="R11" s="1225"/>
    </row>
    <row r="12" spans="2:18" ht="35.25" customHeight="1">
      <c r="B12" s="843">
        <v>60016</v>
      </c>
      <c r="C12" s="2541" t="s">
        <v>379</v>
      </c>
      <c r="D12" s="2541"/>
      <c r="E12" s="2541"/>
      <c r="F12" s="2541"/>
      <c r="G12" s="2541"/>
      <c r="H12" s="2541"/>
      <c r="I12" s="2541"/>
      <c r="J12" s="2541"/>
      <c r="K12" s="1223"/>
      <c r="L12" s="1223">
        <f t="shared" si="0"/>
        <v>0</v>
      </c>
      <c r="M12" s="1224"/>
      <c r="N12" s="1224"/>
      <c r="O12" s="1224"/>
      <c r="P12" s="1224"/>
      <c r="Q12" s="1224"/>
      <c r="R12" s="1225"/>
    </row>
    <row r="13" spans="2:18" ht="35.25" customHeight="1">
      <c r="B13" s="843">
        <v>80195</v>
      </c>
      <c r="C13" s="2541" t="s">
        <v>396</v>
      </c>
      <c r="D13" s="2541"/>
      <c r="E13" s="2541"/>
      <c r="F13" s="2541"/>
      <c r="G13" s="2541"/>
      <c r="H13" s="2541"/>
      <c r="I13" s="2541"/>
      <c r="J13" s="2541"/>
      <c r="K13" s="1223"/>
      <c r="L13" s="1223">
        <f t="shared" si="0"/>
        <v>0</v>
      </c>
      <c r="M13" s="1224"/>
      <c r="N13" s="1224"/>
      <c r="O13" s="1224"/>
      <c r="P13" s="1224"/>
      <c r="Q13" s="1224"/>
      <c r="R13" s="1225"/>
    </row>
    <row r="14" spans="2:18" ht="35.25" customHeight="1">
      <c r="B14" s="843">
        <v>80120</v>
      </c>
      <c r="C14" s="2541" t="s">
        <v>511</v>
      </c>
      <c r="D14" s="2541"/>
      <c r="E14" s="2541"/>
      <c r="F14" s="2541"/>
      <c r="G14" s="2541"/>
      <c r="H14" s="2541"/>
      <c r="I14" s="2541"/>
      <c r="J14" s="2541"/>
      <c r="K14" s="1223"/>
      <c r="L14" s="1223">
        <f t="shared" si="0"/>
        <v>0</v>
      </c>
      <c r="M14" s="1224"/>
      <c r="N14" s="1224"/>
      <c r="O14" s="1224"/>
      <c r="P14" s="1224"/>
      <c r="Q14" s="1224"/>
      <c r="R14" s="1225"/>
    </row>
    <row r="15" spans="2:18" ht="35.25" customHeight="1">
      <c r="B15" s="843">
        <v>90095</v>
      </c>
      <c r="C15" s="2541" t="s">
        <v>443</v>
      </c>
      <c r="D15" s="2541"/>
      <c r="E15" s="2541"/>
      <c r="F15" s="2541"/>
      <c r="G15" s="2541"/>
      <c r="H15" s="2541"/>
      <c r="I15" s="2541"/>
      <c r="J15" s="2541"/>
      <c r="K15" s="1223"/>
      <c r="L15" s="1223">
        <f t="shared" si="0"/>
        <v>0</v>
      </c>
      <c r="M15" s="1224"/>
      <c r="N15" s="1224"/>
      <c r="O15" s="1224"/>
      <c r="P15" s="1224"/>
      <c r="Q15" s="1224"/>
      <c r="R15" s="1225"/>
    </row>
    <row r="16" spans="2:18" ht="35.25" customHeight="1">
      <c r="B16" s="843">
        <v>75023</v>
      </c>
      <c r="C16" s="2541" t="s">
        <v>449</v>
      </c>
      <c r="D16" s="2541"/>
      <c r="E16" s="2541"/>
      <c r="F16" s="2541"/>
      <c r="G16" s="2541"/>
      <c r="H16" s="2541"/>
      <c r="I16" s="2541"/>
      <c r="J16" s="2541"/>
      <c r="K16" s="1223"/>
      <c r="L16" s="1223">
        <f t="shared" si="0"/>
        <v>0</v>
      </c>
      <c r="M16" s="1224"/>
      <c r="N16" s="1224"/>
      <c r="O16" s="1224"/>
      <c r="P16" s="1224"/>
      <c r="Q16" s="1224"/>
      <c r="R16" s="1225"/>
    </row>
    <row r="17" spans="2:18" ht="35.25" customHeight="1">
      <c r="B17" s="843">
        <v>92118</v>
      </c>
      <c r="C17" s="2541" t="s">
        <v>450</v>
      </c>
      <c r="D17" s="2541"/>
      <c r="E17" s="2541"/>
      <c r="F17" s="2541"/>
      <c r="G17" s="2541"/>
      <c r="H17" s="2541"/>
      <c r="I17" s="2541"/>
      <c r="J17" s="2541"/>
      <c r="K17" s="1223"/>
      <c r="L17" s="1223">
        <f t="shared" si="0"/>
        <v>0</v>
      </c>
      <c r="M17" s="1224"/>
      <c r="N17" s="1224"/>
      <c r="O17" s="1224"/>
      <c r="P17" s="1224"/>
      <c r="Q17" s="1224"/>
      <c r="R17" s="1225"/>
    </row>
    <row r="18" spans="2:18" ht="35.25" customHeight="1">
      <c r="B18" s="843">
        <v>75075</v>
      </c>
      <c r="C18" s="2541" t="s">
        <v>490</v>
      </c>
      <c r="D18" s="2541"/>
      <c r="E18" s="2541"/>
      <c r="F18" s="2541"/>
      <c r="G18" s="2541"/>
      <c r="H18" s="2541"/>
      <c r="I18" s="2541"/>
      <c r="J18" s="2541"/>
      <c r="K18" s="1223"/>
      <c r="L18" s="1223">
        <f t="shared" si="0"/>
        <v>0</v>
      </c>
      <c r="M18" s="1224"/>
      <c r="N18" s="1224"/>
      <c r="O18" s="1224"/>
      <c r="P18" s="1224"/>
      <c r="Q18" s="1224"/>
      <c r="R18" s="1225"/>
    </row>
    <row r="19" spans="2:18" ht="35.25" customHeight="1">
      <c r="B19" s="843">
        <v>60015</v>
      </c>
      <c r="C19" s="2541" t="s">
        <v>501</v>
      </c>
      <c r="D19" s="2541"/>
      <c r="E19" s="2541"/>
      <c r="F19" s="2541"/>
      <c r="G19" s="2541"/>
      <c r="H19" s="2541"/>
      <c r="I19" s="2541"/>
      <c r="J19" s="2541"/>
      <c r="K19" s="1223"/>
      <c r="L19" s="1223">
        <f t="shared" si="0"/>
        <v>0</v>
      </c>
      <c r="M19" s="1224"/>
      <c r="N19" s="1224"/>
      <c r="O19" s="1224"/>
      <c r="P19" s="1224"/>
      <c r="Q19" s="1224"/>
      <c r="R19" s="1225"/>
    </row>
    <row r="20" spans="2:18" ht="35.25" customHeight="1">
      <c r="B20" s="843">
        <v>90019</v>
      </c>
      <c r="C20" s="2541" t="s">
        <v>503</v>
      </c>
      <c r="D20" s="2541"/>
      <c r="E20" s="2541"/>
      <c r="F20" s="2541"/>
      <c r="G20" s="2541"/>
      <c r="H20" s="2541"/>
      <c r="I20" s="2541"/>
      <c r="J20" s="2541"/>
      <c r="K20" s="1223"/>
      <c r="L20" s="1223">
        <f t="shared" si="0"/>
        <v>0</v>
      </c>
      <c r="M20" s="1224"/>
      <c r="N20" s="1224"/>
      <c r="O20" s="1224"/>
      <c r="P20" s="1224"/>
      <c r="Q20" s="1224"/>
      <c r="R20" s="1225"/>
    </row>
    <row r="21" spans="2:18" ht="35.25" customHeight="1">
      <c r="B21" s="843">
        <v>80101</v>
      </c>
      <c r="C21" s="2541" t="s">
        <v>505</v>
      </c>
      <c r="D21" s="2541"/>
      <c r="E21" s="2541"/>
      <c r="F21" s="2541"/>
      <c r="G21" s="2541"/>
      <c r="H21" s="2541"/>
      <c r="I21" s="2541"/>
      <c r="J21" s="2541"/>
      <c r="K21" s="1223"/>
      <c r="L21" s="1223">
        <f t="shared" si="0"/>
        <v>0</v>
      </c>
      <c r="M21" s="1224"/>
      <c r="N21" s="1224"/>
      <c r="O21" s="1224"/>
      <c r="P21" s="1224"/>
      <c r="Q21" s="1224"/>
      <c r="R21" s="1225"/>
    </row>
    <row r="22" spans="2:18" ht="35.25" customHeight="1">
      <c r="B22" s="843">
        <v>75023</v>
      </c>
      <c r="C22" s="2541" t="s">
        <v>495</v>
      </c>
      <c r="D22" s="2541"/>
      <c r="E22" s="2541"/>
      <c r="F22" s="2541"/>
      <c r="G22" s="2541"/>
      <c r="H22" s="2541"/>
      <c r="I22" s="2541"/>
      <c r="J22" s="2541"/>
      <c r="K22" s="1223"/>
      <c r="L22" s="1223">
        <f t="shared" si="0"/>
        <v>0</v>
      </c>
      <c r="M22" s="1224"/>
      <c r="N22" s="1224"/>
      <c r="O22" s="1224"/>
      <c r="P22" s="1224"/>
      <c r="Q22" s="1224"/>
      <c r="R22" s="1225"/>
    </row>
    <row r="23" spans="2:18">
      <c r="K23" s="1225"/>
      <c r="L23" s="1225"/>
      <c r="M23" s="1225"/>
      <c r="N23" s="1225"/>
      <c r="O23" s="1225"/>
      <c r="P23" s="1225"/>
      <c r="Q23" s="1225"/>
      <c r="R23" s="1225"/>
    </row>
    <row r="24" spans="2:18">
      <c r="K24" s="1225"/>
      <c r="L24" s="1225"/>
      <c r="M24" s="1225"/>
      <c r="N24" s="1225"/>
      <c r="O24" s="1225"/>
      <c r="P24" s="1225"/>
      <c r="Q24" s="1225"/>
      <c r="R24" s="1225"/>
    </row>
  </sheetData>
  <mergeCells count="18">
    <mergeCell ref="C15:J15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22:J22"/>
    <mergeCell ref="C16:J16"/>
    <mergeCell ref="C17:J17"/>
    <mergeCell ref="C18:J18"/>
    <mergeCell ref="C19:J19"/>
    <mergeCell ref="C20:J20"/>
    <mergeCell ref="C21:J21"/>
  </mergeCells>
  <pageMargins left="0.70866141732283472" right="0.70866141732283472" top="0.46" bottom="0.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AB118"/>
  <sheetViews>
    <sheetView view="pageBreakPreview" topLeftCell="J82" zoomScale="106" zoomScaleSheetLayoutView="106" workbookViewId="0">
      <selection activeCell="Q27" sqref="Q27:Q29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6.42578125" style="36" customWidth="1"/>
    <col min="13" max="13" width="6" style="36" customWidth="1"/>
    <col min="14" max="14" width="12.140625" style="36" customWidth="1"/>
    <col min="15" max="15" width="1.85546875" style="36" customWidth="1"/>
    <col min="16" max="16" width="11.85546875" style="36" customWidth="1"/>
    <col min="17" max="17" width="11.42578125" style="36" customWidth="1"/>
    <col min="18" max="18" width="11.85546875" style="36" customWidth="1"/>
    <col min="19" max="19" width="12.28515625" style="36" customWidth="1"/>
    <col min="20" max="20" width="11.42578125" style="36" customWidth="1"/>
    <col min="21" max="21" width="11.85546875" style="36" customWidth="1"/>
    <col min="22" max="22" width="11.5703125" style="36" customWidth="1"/>
    <col min="23" max="23" width="11.140625" style="36" customWidth="1"/>
    <col min="24" max="24" width="11.5703125" style="36" customWidth="1"/>
    <col min="25" max="25" width="11.140625" style="36" customWidth="1"/>
    <col min="26" max="26" width="10.42578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520" t="s">
        <v>248</v>
      </c>
      <c r="V1" s="1520"/>
      <c r="W1" s="1520"/>
      <c r="X1" s="1520"/>
      <c r="Y1" s="1520"/>
      <c r="Z1" s="1520"/>
      <c r="AA1" s="1520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520"/>
      <c r="V2" s="1520"/>
      <c r="W2" s="1520"/>
      <c r="X2" s="1520"/>
      <c r="Y2" s="1520"/>
      <c r="Z2" s="1520"/>
      <c r="AA2" s="1520"/>
    </row>
    <row r="3" spans="1:27" ht="15.75">
      <c r="A3" s="1521" t="s">
        <v>136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1521"/>
      <c r="V3" s="1521"/>
      <c r="W3" s="1521"/>
      <c r="X3" s="1521"/>
      <c r="Y3" s="1521"/>
      <c r="Z3" s="1521"/>
      <c r="AA3" s="1521"/>
    </row>
    <row r="4" spans="1:27" ht="16.5" thickBot="1">
      <c r="A4" s="1522" t="s">
        <v>169</v>
      </c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1522"/>
      <c r="Y4" s="1522"/>
      <c r="Z4" s="1522"/>
      <c r="AA4" s="1522"/>
    </row>
    <row r="5" spans="1:27" ht="13.5" thickTop="1">
      <c r="A5" s="1523" t="s">
        <v>138</v>
      </c>
      <c r="B5" s="1527" t="s">
        <v>101</v>
      </c>
      <c r="C5" s="1527"/>
      <c r="D5" s="1529" t="s">
        <v>102</v>
      </c>
      <c r="E5" s="1529"/>
      <c r="F5" s="1527" t="s">
        <v>103</v>
      </c>
      <c r="G5" s="1527"/>
      <c r="H5" s="1527"/>
      <c r="I5" s="1527"/>
      <c r="J5" s="1531" t="s">
        <v>104</v>
      </c>
      <c r="K5" s="1532"/>
      <c r="L5" s="1535" t="s">
        <v>105</v>
      </c>
      <c r="M5" s="1531" t="s">
        <v>106</v>
      </c>
      <c r="N5" s="1537"/>
      <c r="O5" s="1537"/>
      <c r="P5" s="1538"/>
      <c r="Q5" s="1538"/>
      <c r="R5" s="1538"/>
      <c r="S5" s="1538"/>
      <c r="T5" s="1538"/>
      <c r="U5" s="1538"/>
      <c r="V5" s="1538"/>
      <c r="W5" s="1538"/>
      <c r="X5" s="1538"/>
      <c r="Y5" s="1538"/>
      <c r="Z5" s="1538"/>
      <c r="AA5" s="1539"/>
    </row>
    <row r="6" spans="1:27">
      <c r="A6" s="1524"/>
      <c r="B6" s="1528"/>
      <c r="C6" s="1528"/>
      <c r="D6" s="1530"/>
      <c r="E6" s="1530"/>
      <c r="F6" s="1528"/>
      <c r="G6" s="1528"/>
      <c r="H6" s="1528"/>
      <c r="I6" s="1528"/>
      <c r="J6" s="1533"/>
      <c r="K6" s="1534"/>
      <c r="L6" s="1536"/>
      <c r="M6" s="1540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2"/>
    </row>
    <row r="7" spans="1:27">
      <c r="A7" s="1524"/>
      <c r="B7" s="1503" t="s">
        <v>107</v>
      </c>
      <c r="C7" s="1504"/>
      <c r="D7" s="1507" t="s">
        <v>108</v>
      </c>
      <c r="E7" s="1508"/>
      <c r="F7" s="1503" t="s">
        <v>109</v>
      </c>
      <c r="G7" s="1511"/>
      <c r="H7" s="1511"/>
      <c r="I7" s="1504"/>
      <c r="J7" s="1533"/>
      <c r="K7" s="1534"/>
      <c r="L7" s="1536"/>
      <c r="M7" s="1543"/>
      <c r="N7" s="1544"/>
      <c r="O7" s="1544"/>
      <c r="P7" s="1544"/>
      <c r="Q7" s="1544"/>
      <c r="R7" s="1544"/>
      <c r="S7" s="1544"/>
      <c r="T7" s="1544"/>
      <c r="U7" s="1544"/>
      <c r="V7" s="1544"/>
      <c r="W7" s="1544"/>
      <c r="X7" s="1544"/>
      <c r="Y7" s="1544"/>
      <c r="Z7" s="1544"/>
      <c r="AA7" s="1545"/>
    </row>
    <row r="8" spans="1:27">
      <c r="A8" s="1524"/>
      <c r="B8" s="1505"/>
      <c r="C8" s="1506"/>
      <c r="D8" s="1509"/>
      <c r="E8" s="1510"/>
      <c r="F8" s="1505"/>
      <c r="G8" s="1512"/>
      <c r="H8" s="1512"/>
      <c r="I8" s="1506"/>
      <c r="J8" s="1533"/>
      <c r="K8" s="1534"/>
      <c r="L8" s="1536"/>
      <c r="M8" s="1513" t="s">
        <v>110</v>
      </c>
      <c r="N8" s="1516" t="s">
        <v>111</v>
      </c>
      <c r="O8" s="20"/>
      <c r="P8" s="1516">
        <v>2012</v>
      </c>
      <c r="Q8" s="1516">
        <v>2013</v>
      </c>
      <c r="R8" s="1500">
        <v>2014</v>
      </c>
      <c r="S8" s="1500">
        <v>2015</v>
      </c>
      <c r="T8" s="1500">
        <v>2016</v>
      </c>
      <c r="U8" s="1500">
        <v>2017</v>
      </c>
      <c r="V8" s="1500">
        <v>2018</v>
      </c>
      <c r="W8" s="1500">
        <v>2019</v>
      </c>
      <c r="X8" s="1500">
        <v>2020</v>
      </c>
      <c r="Y8" s="1500">
        <v>2021</v>
      </c>
      <c r="Z8" s="1500">
        <v>2022</v>
      </c>
      <c r="AA8" s="1546" t="s">
        <v>113</v>
      </c>
    </row>
    <row r="9" spans="1:27">
      <c r="A9" s="1525"/>
      <c r="B9" s="1503" t="s">
        <v>114</v>
      </c>
      <c r="C9" s="1511"/>
      <c r="D9" s="1511"/>
      <c r="E9" s="1511"/>
      <c r="F9" s="1511"/>
      <c r="G9" s="1511"/>
      <c r="H9" s="1511"/>
      <c r="I9" s="1504"/>
      <c r="J9" s="1533"/>
      <c r="K9" s="1534"/>
      <c r="L9" s="1536"/>
      <c r="M9" s="1514"/>
      <c r="N9" s="1517"/>
      <c r="O9" s="21"/>
      <c r="P9" s="1517"/>
      <c r="Q9" s="1517"/>
      <c r="R9" s="1501"/>
      <c r="S9" s="1501"/>
      <c r="T9" s="1501"/>
      <c r="U9" s="1501"/>
      <c r="V9" s="1501"/>
      <c r="W9" s="1501"/>
      <c r="X9" s="1501"/>
      <c r="Y9" s="1501"/>
      <c r="Z9" s="1501"/>
      <c r="AA9" s="1547"/>
    </row>
    <row r="10" spans="1:27">
      <c r="A10" s="1525"/>
      <c r="B10" s="1533"/>
      <c r="C10" s="1549"/>
      <c r="D10" s="1549"/>
      <c r="E10" s="1549"/>
      <c r="F10" s="1549"/>
      <c r="G10" s="1549"/>
      <c r="H10" s="1549"/>
      <c r="I10" s="1534"/>
      <c r="J10" s="1505"/>
      <c r="K10" s="1506"/>
      <c r="L10" s="1536"/>
      <c r="M10" s="1514"/>
      <c r="N10" s="1517"/>
      <c r="O10" s="21"/>
      <c r="P10" s="1517"/>
      <c r="Q10" s="1517"/>
      <c r="R10" s="1501"/>
      <c r="S10" s="1501"/>
      <c r="T10" s="1501"/>
      <c r="U10" s="1501"/>
      <c r="V10" s="1501"/>
      <c r="W10" s="1501"/>
      <c r="X10" s="1501"/>
      <c r="Y10" s="1501"/>
      <c r="Z10" s="1501"/>
      <c r="AA10" s="1547"/>
    </row>
    <row r="11" spans="1:27">
      <c r="A11" s="1525"/>
      <c r="B11" s="1533"/>
      <c r="C11" s="1549"/>
      <c r="D11" s="1549"/>
      <c r="E11" s="1549"/>
      <c r="F11" s="1549"/>
      <c r="G11" s="1549"/>
      <c r="H11" s="1549"/>
      <c r="I11" s="1534"/>
      <c r="J11" s="1550" t="s">
        <v>115</v>
      </c>
      <c r="K11" s="1550" t="s">
        <v>116</v>
      </c>
      <c r="L11" s="1528" t="s">
        <v>170</v>
      </c>
      <c r="M11" s="1514"/>
      <c r="N11" s="1517"/>
      <c r="O11" s="21"/>
      <c r="P11" s="1517"/>
      <c r="Q11" s="1517"/>
      <c r="R11" s="1501"/>
      <c r="S11" s="1501"/>
      <c r="T11" s="1501"/>
      <c r="U11" s="1501"/>
      <c r="V11" s="1501"/>
      <c r="W11" s="1501"/>
      <c r="X11" s="1501"/>
      <c r="Y11" s="1501"/>
      <c r="Z11" s="1501"/>
      <c r="AA11" s="1547"/>
    </row>
    <row r="12" spans="1:27">
      <c r="A12" s="1525"/>
      <c r="B12" s="1505"/>
      <c r="C12" s="1512"/>
      <c r="D12" s="1512"/>
      <c r="E12" s="1512"/>
      <c r="F12" s="1512"/>
      <c r="G12" s="1512"/>
      <c r="H12" s="1512"/>
      <c r="I12" s="1506"/>
      <c r="J12" s="1550"/>
      <c r="K12" s="1550"/>
      <c r="L12" s="1528"/>
      <c r="M12" s="1514"/>
      <c r="N12" s="1517"/>
      <c r="O12" s="21"/>
      <c r="P12" s="1517"/>
      <c r="Q12" s="1517"/>
      <c r="R12" s="1501"/>
      <c r="S12" s="1501"/>
      <c r="T12" s="1501"/>
      <c r="U12" s="1501"/>
      <c r="V12" s="1501"/>
      <c r="W12" s="1501"/>
      <c r="X12" s="1501"/>
      <c r="Y12" s="1501"/>
      <c r="Z12" s="1501"/>
      <c r="AA12" s="1547"/>
    </row>
    <row r="13" spans="1:27">
      <c r="A13" s="1525"/>
      <c r="B13" s="1503" t="s">
        <v>118</v>
      </c>
      <c r="C13" s="1511"/>
      <c r="D13" s="1511"/>
      <c r="E13" s="1511"/>
      <c r="F13" s="1511"/>
      <c r="G13" s="1511"/>
      <c r="H13" s="1511"/>
      <c r="I13" s="1504"/>
      <c r="J13" s="1550"/>
      <c r="K13" s="1550"/>
      <c r="L13" s="1528"/>
      <c r="M13" s="1514"/>
      <c r="N13" s="1517"/>
      <c r="O13" s="21"/>
      <c r="P13" s="1517"/>
      <c r="Q13" s="1517"/>
      <c r="R13" s="1501"/>
      <c r="S13" s="1501"/>
      <c r="T13" s="1501"/>
      <c r="U13" s="1501"/>
      <c r="V13" s="1501"/>
      <c r="W13" s="1501"/>
      <c r="X13" s="1501"/>
      <c r="Y13" s="1501"/>
      <c r="Z13" s="1501"/>
      <c r="AA13" s="1547"/>
    </row>
    <row r="14" spans="1:27">
      <c r="A14" s="1525"/>
      <c r="B14" s="1533"/>
      <c r="C14" s="1549"/>
      <c r="D14" s="1549"/>
      <c r="E14" s="1549"/>
      <c r="F14" s="1549"/>
      <c r="G14" s="1549"/>
      <c r="H14" s="1549"/>
      <c r="I14" s="1534"/>
      <c r="J14" s="1550"/>
      <c r="K14" s="1550"/>
      <c r="L14" s="1528"/>
      <c r="M14" s="1514"/>
      <c r="N14" s="1517"/>
      <c r="O14" s="21"/>
      <c r="P14" s="1517"/>
      <c r="Q14" s="1517"/>
      <c r="R14" s="1501"/>
      <c r="S14" s="1501"/>
      <c r="T14" s="1501"/>
      <c r="U14" s="1501"/>
      <c r="V14" s="1501"/>
      <c r="W14" s="1501"/>
      <c r="X14" s="1501"/>
      <c r="Y14" s="1501"/>
      <c r="Z14" s="1501"/>
      <c r="AA14" s="1547"/>
    </row>
    <row r="15" spans="1:27">
      <c r="A15" s="1525"/>
      <c r="B15" s="1533"/>
      <c r="C15" s="1549"/>
      <c r="D15" s="1549"/>
      <c r="E15" s="1549"/>
      <c r="F15" s="1549"/>
      <c r="G15" s="1549"/>
      <c r="H15" s="1549"/>
      <c r="I15" s="1534"/>
      <c r="J15" s="1550"/>
      <c r="K15" s="1550"/>
      <c r="L15" s="1528"/>
      <c r="M15" s="1514"/>
      <c r="N15" s="1517"/>
      <c r="O15" s="21"/>
      <c r="P15" s="1517"/>
      <c r="Q15" s="1517"/>
      <c r="R15" s="1501"/>
      <c r="S15" s="1501"/>
      <c r="T15" s="1501"/>
      <c r="U15" s="1501"/>
      <c r="V15" s="1501"/>
      <c r="W15" s="1501"/>
      <c r="X15" s="1501"/>
      <c r="Y15" s="1501"/>
      <c r="Z15" s="1501"/>
      <c r="AA15" s="1547"/>
    </row>
    <row r="16" spans="1:27" ht="13.5" thickBot="1">
      <c r="A16" s="1526"/>
      <c r="B16" s="1553"/>
      <c r="C16" s="1554"/>
      <c r="D16" s="1554"/>
      <c r="E16" s="1554"/>
      <c r="F16" s="1554"/>
      <c r="G16" s="1554"/>
      <c r="H16" s="1554"/>
      <c r="I16" s="1555"/>
      <c r="J16" s="1551"/>
      <c r="K16" s="1551"/>
      <c r="L16" s="1552"/>
      <c r="M16" s="1515"/>
      <c r="N16" s="1518"/>
      <c r="O16" s="22"/>
      <c r="P16" s="1519"/>
      <c r="Q16" s="1519"/>
      <c r="R16" s="1502"/>
      <c r="S16" s="1502"/>
      <c r="T16" s="1502"/>
      <c r="U16" s="1502"/>
      <c r="V16" s="1502"/>
      <c r="W16" s="1502"/>
      <c r="X16" s="1502"/>
      <c r="Y16" s="1502"/>
      <c r="Z16" s="1502"/>
      <c r="AA16" s="1548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473">
        <v>1</v>
      </c>
      <c r="B18" s="1478" t="s">
        <v>101</v>
      </c>
      <c r="C18" s="1479"/>
      <c r="D18" s="1479">
        <v>757</v>
      </c>
      <c r="E18" s="1479"/>
      <c r="F18" s="1482" t="s">
        <v>171</v>
      </c>
      <c r="G18" s="1482"/>
      <c r="H18" s="1482"/>
      <c r="I18" s="1482"/>
      <c r="J18" s="1468">
        <v>2007</v>
      </c>
      <c r="K18" s="1468">
        <v>2022</v>
      </c>
      <c r="L18" s="1464">
        <f>SUM(N18,L24)</f>
        <v>10907884.030000001</v>
      </c>
      <c r="M18" s="1466" t="s">
        <v>120</v>
      </c>
      <c r="N18" s="1451">
        <f>SUM(N22:N29)</f>
        <v>9250691.0300000012</v>
      </c>
      <c r="O18" s="1468" t="s">
        <v>112</v>
      </c>
      <c r="P18" s="1451">
        <f t="shared" ref="P18:AA18" si="0">SUM(P22:P29)</f>
        <v>1215893.6400000001</v>
      </c>
      <c r="Q18" s="1451">
        <f t="shared" si="0"/>
        <v>746153.88</v>
      </c>
      <c r="R18" s="1451">
        <f t="shared" si="0"/>
        <v>1110507.49</v>
      </c>
      <c r="S18" s="1451">
        <f t="shared" si="0"/>
        <v>1066553.8599999999</v>
      </c>
      <c r="T18" s="1451">
        <f t="shared" si="0"/>
        <v>821197.86</v>
      </c>
      <c r="U18" s="1451">
        <f t="shared" si="0"/>
        <v>746153.88</v>
      </c>
      <c r="V18" s="1451">
        <f t="shared" si="0"/>
        <v>746153.88</v>
      </c>
      <c r="W18" s="1451">
        <f t="shared" si="0"/>
        <v>746153.88</v>
      </c>
      <c r="X18" s="1451">
        <f t="shared" si="0"/>
        <v>746153.88</v>
      </c>
      <c r="Y18" s="1451">
        <f t="shared" si="0"/>
        <v>746153.88</v>
      </c>
      <c r="Z18" s="1451">
        <f t="shared" si="0"/>
        <v>559614.9</v>
      </c>
      <c r="AA18" s="1453">
        <f t="shared" si="0"/>
        <v>0</v>
      </c>
    </row>
    <row r="19" spans="1:27">
      <c r="A19" s="1474"/>
      <c r="B19" s="1480"/>
      <c r="C19" s="1481"/>
      <c r="D19" s="1481"/>
      <c r="E19" s="1481"/>
      <c r="F19" s="1483"/>
      <c r="G19" s="1483"/>
      <c r="H19" s="1483"/>
      <c r="I19" s="1483"/>
      <c r="J19" s="1449"/>
      <c r="K19" s="1449"/>
      <c r="L19" s="1465"/>
      <c r="M19" s="1467"/>
      <c r="N19" s="1452"/>
      <c r="O19" s="1449"/>
      <c r="P19" s="1452"/>
      <c r="Q19" s="1452"/>
      <c r="R19" s="1452"/>
      <c r="S19" s="1452"/>
      <c r="T19" s="1452"/>
      <c r="U19" s="1452"/>
      <c r="V19" s="1452"/>
      <c r="W19" s="1452"/>
      <c r="X19" s="1452"/>
      <c r="Y19" s="1452"/>
      <c r="Z19" s="1452"/>
      <c r="AA19" s="1454"/>
    </row>
    <row r="20" spans="1:27">
      <c r="A20" s="1474"/>
      <c r="B20" s="1492" t="s">
        <v>107</v>
      </c>
      <c r="C20" s="1493"/>
      <c r="D20" s="1493">
        <v>75704</v>
      </c>
      <c r="E20" s="1493"/>
      <c r="F20" s="1483" t="s">
        <v>172</v>
      </c>
      <c r="G20" s="1483"/>
      <c r="H20" s="1483"/>
      <c r="I20" s="1483"/>
      <c r="J20" s="1449"/>
      <c r="K20" s="1449"/>
      <c r="L20" s="1465"/>
      <c r="M20" s="1467"/>
      <c r="N20" s="1452"/>
      <c r="O20" s="1449"/>
      <c r="P20" s="1452"/>
      <c r="Q20" s="1452"/>
      <c r="R20" s="1452"/>
      <c r="S20" s="1452"/>
      <c r="T20" s="1452"/>
      <c r="U20" s="1452"/>
      <c r="V20" s="1452"/>
      <c r="W20" s="1452"/>
      <c r="X20" s="1452"/>
      <c r="Y20" s="1452"/>
      <c r="Z20" s="1452"/>
      <c r="AA20" s="1454"/>
    </row>
    <row r="21" spans="1:27">
      <c r="A21" s="1474"/>
      <c r="B21" s="1494"/>
      <c r="C21" s="1448"/>
      <c r="D21" s="1448"/>
      <c r="E21" s="1448"/>
      <c r="F21" s="1483"/>
      <c r="G21" s="1483"/>
      <c r="H21" s="1483"/>
      <c r="I21" s="1483"/>
      <c r="J21" s="1449"/>
      <c r="K21" s="1449"/>
      <c r="L21" s="1465"/>
      <c r="M21" s="1467"/>
      <c r="N21" s="1452"/>
      <c r="O21" s="1469"/>
      <c r="P21" s="1452"/>
      <c r="Q21" s="1452"/>
      <c r="R21" s="1452"/>
      <c r="S21" s="1452"/>
      <c r="T21" s="1452"/>
      <c r="U21" s="1452"/>
      <c r="V21" s="1452"/>
      <c r="W21" s="1452"/>
      <c r="X21" s="1452"/>
      <c r="Y21" s="1452"/>
      <c r="Z21" s="1452"/>
      <c r="AA21" s="1454"/>
    </row>
    <row r="22" spans="1:27">
      <c r="A22" s="1475"/>
      <c r="B22" s="1485" t="s">
        <v>173</v>
      </c>
      <c r="C22" s="1485"/>
      <c r="D22" s="1485"/>
      <c r="E22" s="1485"/>
      <c r="F22" s="1485"/>
      <c r="G22" s="1485"/>
      <c r="H22" s="1485"/>
      <c r="I22" s="1485"/>
      <c r="J22" s="1484"/>
      <c r="K22" s="1449"/>
      <c r="L22" s="1465"/>
      <c r="M22" s="1470">
        <v>75704</v>
      </c>
      <c r="N22" s="26" t="s">
        <v>174</v>
      </c>
      <c r="O22" s="1448" t="s">
        <v>112</v>
      </c>
      <c r="P22" s="1440">
        <v>746153.88</v>
      </c>
      <c r="Q22" s="1440">
        <v>746153.88</v>
      </c>
      <c r="R22" s="1440">
        <v>746153.88</v>
      </c>
      <c r="S22" s="1440">
        <v>746153.88</v>
      </c>
      <c r="T22" s="1440">
        <v>746153.88</v>
      </c>
      <c r="U22" s="1440">
        <v>746153.88</v>
      </c>
      <c r="V22" s="1440">
        <v>746153.88</v>
      </c>
      <c r="W22" s="1440">
        <v>746153.88</v>
      </c>
      <c r="X22" s="1440">
        <v>746153.88</v>
      </c>
      <c r="Y22" s="1440">
        <v>746153.88</v>
      </c>
      <c r="Z22" s="1440">
        <v>559614.9</v>
      </c>
      <c r="AA22" s="1443">
        <v>0</v>
      </c>
    </row>
    <row r="23" spans="1:27">
      <c r="A23" s="1475"/>
      <c r="B23" s="1485"/>
      <c r="C23" s="1485"/>
      <c r="D23" s="1485"/>
      <c r="E23" s="1485"/>
      <c r="F23" s="1485"/>
      <c r="G23" s="1485"/>
      <c r="H23" s="1485"/>
      <c r="I23" s="1485"/>
      <c r="J23" s="1484"/>
      <c r="K23" s="1449"/>
      <c r="L23" s="1465"/>
      <c r="M23" s="1471"/>
      <c r="N23" s="1441">
        <f>SUM(P22:Z26)</f>
        <v>8021153.7000000002</v>
      </c>
      <c r="O23" s="1449"/>
      <c r="P23" s="1441"/>
      <c r="Q23" s="1441"/>
      <c r="R23" s="1441"/>
      <c r="S23" s="1441"/>
      <c r="T23" s="1441"/>
      <c r="U23" s="1441"/>
      <c r="V23" s="1441"/>
      <c r="W23" s="1441"/>
      <c r="X23" s="1441"/>
      <c r="Y23" s="1441"/>
      <c r="Z23" s="1441"/>
      <c r="AA23" s="1444"/>
    </row>
    <row r="24" spans="1:27">
      <c r="A24" s="1475"/>
      <c r="B24" s="1485"/>
      <c r="C24" s="1485"/>
      <c r="D24" s="1485"/>
      <c r="E24" s="1485"/>
      <c r="F24" s="1485"/>
      <c r="G24" s="1485"/>
      <c r="H24" s="1485"/>
      <c r="I24" s="1485"/>
      <c r="J24" s="1484"/>
      <c r="K24" s="1449"/>
      <c r="L24" s="1446">
        <f>1484246+172947</f>
        <v>1657193</v>
      </c>
      <c r="M24" s="1471"/>
      <c r="N24" s="1441"/>
      <c r="O24" s="1449"/>
      <c r="P24" s="1441"/>
      <c r="Q24" s="1441"/>
      <c r="R24" s="1441"/>
      <c r="S24" s="1441"/>
      <c r="T24" s="1441"/>
      <c r="U24" s="1441"/>
      <c r="V24" s="1441"/>
      <c r="W24" s="1441"/>
      <c r="X24" s="1441"/>
      <c r="Y24" s="1441"/>
      <c r="Z24" s="1441"/>
      <c r="AA24" s="1444"/>
    </row>
    <row r="25" spans="1:27">
      <c r="A25" s="1475"/>
      <c r="B25" s="1485"/>
      <c r="C25" s="1485"/>
      <c r="D25" s="1485"/>
      <c r="E25" s="1485"/>
      <c r="F25" s="1485"/>
      <c r="G25" s="1485"/>
      <c r="H25" s="1485"/>
      <c r="I25" s="1485"/>
      <c r="J25" s="1484"/>
      <c r="K25" s="1449"/>
      <c r="L25" s="1446"/>
      <c r="M25" s="1471"/>
      <c r="N25" s="1441"/>
      <c r="O25" s="1449"/>
      <c r="P25" s="1441"/>
      <c r="Q25" s="1441"/>
      <c r="R25" s="1441"/>
      <c r="S25" s="1441"/>
      <c r="T25" s="1441"/>
      <c r="U25" s="1441"/>
      <c r="V25" s="1441"/>
      <c r="W25" s="1441"/>
      <c r="X25" s="1441"/>
      <c r="Y25" s="1441"/>
      <c r="Z25" s="1441"/>
      <c r="AA25" s="1444"/>
    </row>
    <row r="26" spans="1:27">
      <c r="A26" s="1476"/>
      <c r="B26" s="1486" t="s">
        <v>175</v>
      </c>
      <c r="C26" s="1487"/>
      <c r="D26" s="1487"/>
      <c r="E26" s="1487"/>
      <c r="F26" s="1487"/>
      <c r="G26" s="1487"/>
      <c r="H26" s="1487"/>
      <c r="I26" s="1488"/>
      <c r="J26" s="1449"/>
      <c r="K26" s="1449"/>
      <c r="L26" s="1446"/>
      <c r="M26" s="1471"/>
      <c r="N26" s="1496"/>
      <c r="O26" s="1449"/>
      <c r="P26" s="1495"/>
      <c r="Q26" s="1495"/>
      <c r="R26" s="1495"/>
      <c r="S26" s="1495"/>
      <c r="T26" s="1495"/>
      <c r="U26" s="1495"/>
      <c r="V26" s="1495"/>
      <c r="W26" s="1495"/>
      <c r="X26" s="1495"/>
      <c r="Y26" s="1495"/>
      <c r="Z26" s="1495"/>
      <c r="AA26" s="1499"/>
    </row>
    <row r="27" spans="1:27">
      <c r="A27" s="1476"/>
      <c r="B27" s="1486"/>
      <c r="C27" s="1487"/>
      <c r="D27" s="1487"/>
      <c r="E27" s="1487"/>
      <c r="F27" s="1487"/>
      <c r="G27" s="1487"/>
      <c r="H27" s="1487"/>
      <c r="I27" s="1488"/>
      <c r="J27" s="1449"/>
      <c r="K27" s="1449"/>
      <c r="L27" s="1446"/>
      <c r="M27" s="1471"/>
      <c r="N27" s="27" t="s">
        <v>176</v>
      </c>
      <c r="O27" s="1449"/>
      <c r="P27" s="1497">
        <v>469739.76</v>
      </c>
      <c r="Q27" s="1441" t="s">
        <v>177</v>
      </c>
      <c r="R27" s="1497">
        <v>364353.61</v>
      </c>
      <c r="S27" s="1441">
        <v>320399.98</v>
      </c>
      <c r="T27" s="1441">
        <v>75043.98</v>
      </c>
      <c r="U27" s="1441"/>
      <c r="V27" s="1497"/>
      <c r="W27" s="1497"/>
      <c r="X27" s="1497"/>
      <c r="Y27" s="1497"/>
      <c r="Z27" s="1497"/>
      <c r="AA27" s="1498"/>
    </row>
    <row r="28" spans="1:27">
      <c r="A28" s="1476"/>
      <c r="B28" s="1486"/>
      <c r="C28" s="1487"/>
      <c r="D28" s="1487"/>
      <c r="E28" s="1487"/>
      <c r="F28" s="1487"/>
      <c r="G28" s="1487"/>
      <c r="H28" s="1487"/>
      <c r="I28" s="1488"/>
      <c r="J28" s="1449"/>
      <c r="K28" s="1449"/>
      <c r="L28" s="1446"/>
      <c r="M28" s="1471"/>
      <c r="N28" s="1441">
        <f>SUM(P27:Z29)</f>
        <v>1229537.33</v>
      </c>
      <c r="O28" s="1449"/>
      <c r="P28" s="1441"/>
      <c r="Q28" s="1441"/>
      <c r="R28" s="1441"/>
      <c r="S28" s="1441"/>
      <c r="T28" s="1441"/>
      <c r="U28" s="1441"/>
      <c r="V28" s="1441"/>
      <c r="W28" s="1441"/>
      <c r="X28" s="1441"/>
      <c r="Y28" s="1441"/>
      <c r="Z28" s="1441"/>
      <c r="AA28" s="1444"/>
    </row>
    <row r="29" spans="1:27" ht="13.5" thickBot="1">
      <c r="A29" s="1477"/>
      <c r="B29" s="1489"/>
      <c r="C29" s="1490"/>
      <c r="D29" s="1490"/>
      <c r="E29" s="1490"/>
      <c r="F29" s="1490"/>
      <c r="G29" s="1490"/>
      <c r="H29" s="1490"/>
      <c r="I29" s="1491"/>
      <c r="J29" s="1450"/>
      <c r="K29" s="1450"/>
      <c r="L29" s="1447"/>
      <c r="M29" s="1472"/>
      <c r="N29" s="1442"/>
      <c r="O29" s="1450"/>
      <c r="P29" s="1442"/>
      <c r="Q29" s="1442"/>
      <c r="R29" s="1442"/>
      <c r="S29" s="1442"/>
      <c r="T29" s="1442"/>
      <c r="U29" s="1442"/>
      <c r="V29" s="1442"/>
      <c r="W29" s="1442"/>
      <c r="X29" s="1442"/>
      <c r="Y29" s="1442"/>
      <c r="Z29" s="1442"/>
      <c r="AA29" s="1445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473">
        <v>2</v>
      </c>
      <c r="B31" s="1478" t="s">
        <v>101</v>
      </c>
      <c r="C31" s="1479"/>
      <c r="D31" s="1479">
        <v>757</v>
      </c>
      <c r="E31" s="1479"/>
      <c r="F31" s="1482" t="s">
        <v>171</v>
      </c>
      <c r="G31" s="1482"/>
      <c r="H31" s="1482"/>
      <c r="I31" s="1482"/>
      <c r="J31" s="1468">
        <v>2007</v>
      </c>
      <c r="K31" s="1468">
        <v>2013</v>
      </c>
      <c r="L31" s="1464">
        <f>SUM(N31,L37)</f>
        <v>500000</v>
      </c>
      <c r="M31" s="1466" t="s">
        <v>120</v>
      </c>
      <c r="N31" s="1451">
        <f>SUM(N35:N42)</f>
        <v>272532</v>
      </c>
      <c r="O31" s="1468" t="s">
        <v>112</v>
      </c>
      <c r="P31" s="1451">
        <f t="shared" ref="P31:AA31" si="1">SUM(P35:P42)</f>
        <v>100000</v>
      </c>
      <c r="Q31" s="1451">
        <f t="shared" si="1"/>
        <v>172532</v>
      </c>
      <c r="R31" s="1451">
        <f t="shared" si="1"/>
        <v>0</v>
      </c>
      <c r="S31" s="1451">
        <f t="shared" si="1"/>
        <v>0</v>
      </c>
      <c r="T31" s="1451">
        <f t="shared" si="1"/>
        <v>0</v>
      </c>
      <c r="U31" s="1451">
        <f t="shared" si="1"/>
        <v>0</v>
      </c>
      <c r="V31" s="1451">
        <f t="shared" si="1"/>
        <v>0</v>
      </c>
      <c r="W31" s="1451">
        <f t="shared" si="1"/>
        <v>0</v>
      </c>
      <c r="X31" s="1451">
        <f t="shared" si="1"/>
        <v>0</v>
      </c>
      <c r="Y31" s="1451">
        <f t="shared" si="1"/>
        <v>0</v>
      </c>
      <c r="Z31" s="1451">
        <f t="shared" si="1"/>
        <v>0</v>
      </c>
      <c r="AA31" s="1453">
        <f t="shared" si="1"/>
        <v>0</v>
      </c>
    </row>
    <row r="32" spans="1:27">
      <c r="A32" s="1474"/>
      <c r="B32" s="1480"/>
      <c r="C32" s="1481"/>
      <c r="D32" s="1481"/>
      <c r="E32" s="1481"/>
      <c r="F32" s="1483"/>
      <c r="G32" s="1483"/>
      <c r="H32" s="1483"/>
      <c r="I32" s="1483"/>
      <c r="J32" s="1449"/>
      <c r="K32" s="1449"/>
      <c r="L32" s="1465"/>
      <c r="M32" s="1467"/>
      <c r="N32" s="1452"/>
      <c r="O32" s="1449"/>
      <c r="P32" s="1452"/>
      <c r="Q32" s="1452"/>
      <c r="R32" s="1452"/>
      <c r="S32" s="1452"/>
      <c r="T32" s="1452"/>
      <c r="U32" s="1452"/>
      <c r="V32" s="1452"/>
      <c r="W32" s="1452"/>
      <c r="X32" s="1452"/>
      <c r="Y32" s="1452"/>
      <c r="Z32" s="1452"/>
      <c r="AA32" s="1454"/>
    </row>
    <row r="33" spans="1:27">
      <c r="A33" s="1474"/>
      <c r="B33" s="1492" t="s">
        <v>107</v>
      </c>
      <c r="C33" s="1493"/>
      <c r="D33" s="1493">
        <v>75704</v>
      </c>
      <c r="E33" s="1493"/>
      <c r="F33" s="1483" t="s">
        <v>172</v>
      </c>
      <c r="G33" s="1483"/>
      <c r="H33" s="1483"/>
      <c r="I33" s="1483"/>
      <c r="J33" s="1449"/>
      <c r="K33" s="1449"/>
      <c r="L33" s="1465"/>
      <c r="M33" s="1467"/>
      <c r="N33" s="1452"/>
      <c r="O33" s="1449"/>
      <c r="P33" s="1452"/>
      <c r="Q33" s="1452"/>
      <c r="R33" s="1452"/>
      <c r="S33" s="1452"/>
      <c r="T33" s="1452"/>
      <c r="U33" s="1452"/>
      <c r="V33" s="1452"/>
      <c r="W33" s="1452"/>
      <c r="X33" s="1452"/>
      <c r="Y33" s="1452"/>
      <c r="Z33" s="1452"/>
      <c r="AA33" s="1454"/>
    </row>
    <row r="34" spans="1:27">
      <c r="A34" s="1474"/>
      <c r="B34" s="1494"/>
      <c r="C34" s="1448"/>
      <c r="D34" s="1448"/>
      <c r="E34" s="1448"/>
      <c r="F34" s="1483"/>
      <c r="G34" s="1483"/>
      <c r="H34" s="1483"/>
      <c r="I34" s="1483"/>
      <c r="J34" s="1449"/>
      <c r="K34" s="1449"/>
      <c r="L34" s="1465"/>
      <c r="M34" s="1467"/>
      <c r="N34" s="1452"/>
      <c r="O34" s="1469"/>
      <c r="P34" s="1452"/>
      <c r="Q34" s="1452"/>
      <c r="R34" s="1452"/>
      <c r="S34" s="1452"/>
      <c r="T34" s="1452"/>
      <c r="U34" s="1452"/>
      <c r="V34" s="1452"/>
      <c r="W34" s="1452"/>
      <c r="X34" s="1452"/>
      <c r="Y34" s="1452"/>
      <c r="Z34" s="1452"/>
      <c r="AA34" s="1454"/>
    </row>
    <row r="35" spans="1:27">
      <c r="A35" s="1475"/>
      <c r="B35" s="1485" t="s">
        <v>178</v>
      </c>
      <c r="C35" s="1485"/>
      <c r="D35" s="1485"/>
      <c r="E35" s="1485"/>
      <c r="F35" s="1485"/>
      <c r="G35" s="1485"/>
      <c r="H35" s="1485"/>
      <c r="I35" s="1485"/>
      <c r="J35" s="1484"/>
      <c r="K35" s="1449"/>
      <c r="L35" s="1465"/>
      <c r="M35" s="1470">
        <v>75704</v>
      </c>
      <c r="N35" s="1440">
        <f>SUM(P35:Z42)</f>
        <v>272532</v>
      </c>
      <c r="O35" s="1448" t="s">
        <v>112</v>
      </c>
      <c r="P35" s="1440">
        <v>100000</v>
      </c>
      <c r="Q35" s="1440">
        <v>172532</v>
      </c>
      <c r="R35" s="1440">
        <v>0</v>
      </c>
      <c r="S35" s="1440">
        <v>0</v>
      </c>
      <c r="T35" s="1440">
        <v>0</v>
      </c>
      <c r="U35" s="1440">
        <v>0</v>
      </c>
      <c r="V35" s="1440">
        <v>0</v>
      </c>
      <c r="W35" s="1440">
        <v>0</v>
      </c>
      <c r="X35" s="1440">
        <v>0</v>
      </c>
      <c r="Y35" s="1440">
        <v>0</v>
      </c>
      <c r="Z35" s="1440">
        <v>0</v>
      </c>
      <c r="AA35" s="1443">
        <v>0</v>
      </c>
    </row>
    <row r="36" spans="1:27">
      <c r="A36" s="1475"/>
      <c r="B36" s="1485"/>
      <c r="C36" s="1485"/>
      <c r="D36" s="1485"/>
      <c r="E36" s="1485"/>
      <c r="F36" s="1485"/>
      <c r="G36" s="1485"/>
      <c r="H36" s="1485"/>
      <c r="I36" s="1485"/>
      <c r="J36" s="1484"/>
      <c r="K36" s="1449"/>
      <c r="L36" s="1465"/>
      <c r="M36" s="1471"/>
      <c r="N36" s="1441"/>
      <c r="O36" s="1449"/>
      <c r="P36" s="1441"/>
      <c r="Q36" s="1441"/>
      <c r="R36" s="1441"/>
      <c r="S36" s="1441"/>
      <c r="T36" s="1441"/>
      <c r="U36" s="1441"/>
      <c r="V36" s="1441"/>
      <c r="W36" s="1441"/>
      <c r="X36" s="1441"/>
      <c r="Y36" s="1441"/>
      <c r="Z36" s="1441"/>
      <c r="AA36" s="1444"/>
    </row>
    <row r="37" spans="1:27">
      <c r="A37" s="1475"/>
      <c r="B37" s="1485"/>
      <c r="C37" s="1485"/>
      <c r="D37" s="1485"/>
      <c r="E37" s="1485"/>
      <c r="F37" s="1485"/>
      <c r="G37" s="1485"/>
      <c r="H37" s="1485"/>
      <c r="I37" s="1485"/>
      <c r="J37" s="1484"/>
      <c r="K37" s="1449"/>
      <c r="L37" s="1446">
        <v>227468</v>
      </c>
      <c r="M37" s="1471"/>
      <c r="N37" s="1441"/>
      <c r="O37" s="1449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4"/>
    </row>
    <row r="38" spans="1:27">
      <c r="A38" s="1475"/>
      <c r="B38" s="1485"/>
      <c r="C38" s="1485"/>
      <c r="D38" s="1485"/>
      <c r="E38" s="1485"/>
      <c r="F38" s="1485"/>
      <c r="G38" s="1485"/>
      <c r="H38" s="1485"/>
      <c r="I38" s="1485"/>
      <c r="J38" s="1484"/>
      <c r="K38" s="1449"/>
      <c r="L38" s="1446"/>
      <c r="M38" s="1471"/>
      <c r="N38" s="1441"/>
      <c r="O38" s="1449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4"/>
    </row>
    <row r="39" spans="1:27">
      <c r="A39" s="1476"/>
      <c r="B39" s="1486" t="s">
        <v>179</v>
      </c>
      <c r="C39" s="1487"/>
      <c r="D39" s="1487"/>
      <c r="E39" s="1487"/>
      <c r="F39" s="1487"/>
      <c r="G39" s="1487"/>
      <c r="H39" s="1487"/>
      <c r="I39" s="1488"/>
      <c r="J39" s="1449"/>
      <c r="K39" s="1449"/>
      <c r="L39" s="1446"/>
      <c r="M39" s="1471"/>
      <c r="N39" s="1441"/>
      <c r="O39" s="1449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4"/>
    </row>
    <row r="40" spans="1:27">
      <c r="A40" s="1476"/>
      <c r="B40" s="1486"/>
      <c r="C40" s="1487"/>
      <c r="D40" s="1487"/>
      <c r="E40" s="1487"/>
      <c r="F40" s="1487"/>
      <c r="G40" s="1487"/>
      <c r="H40" s="1487"/>
      <c r="I40" s="1488"/>
      <c r="J40" s="1449"/>
      <c r="K40" s="1449"/>
      <c r="L40" s="1446"/>
      <c r="M40" s="1471"/>
      <c r="N40" s="1441"/>
      <c r="O40" s="1449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4"/>
    </row>
    <row r="41" spans="1:27">
      <c r="A41" s="1476"/>
      <c r="B41" s="1486"/>
      <c r="C41" s="1487"/>
      <c r="D41" s="1487"/>
      <c r="E41" s="1487"/>
      <c r="F41" s="1487"/>
      <c r="G41" s="1487"/>
      <c r="H41" s="1487"/>
      <c r="I41" s="1488"/>
      <c r="J41" s="1449"/>
      <c r="K41" s="1449"/>
      <c r="L41" s="1446"/>
      <c r="M41" s="1471"/>
      <c r="N41" s="1441"/>
      <c r="O41" s="1449"/>
      <c r="P41" s="1441"/>
      <c r="Q41" s="1441"/>
      <c r="R41" s="1441"/>
      <c r="S41" s="1441"/>
      <c r="T41" s="1441"/>
      <c r="U41" s="1441"/>
      <c r="V41" s="1441"/>
      <c r="W41" s="1441"/>
      <c r="X41" s="1441"/>
      <c r="Y41" s="1441"/>
      <c r="Z41" s="1441"/>
      <c r="AA41" s="1444"/>
    </row>
    <row r="42" spans="1:27" ht="13.5" thickBot="1">
      <c r="A42" s="1477"/>
      <c r="B42" s="1489"/>
      <c r="C42" s="1490"/>
      <c r="D42" s="1490"/>
      <c r="E42" s="1490"/>
      <c r="F42" s="1490"/>
      <c r="G42" s="1490"/>
      <c r="H42" s="1490"/>
      <c r="I42" s="1491"/>
      <c r="J42" s="1450"/>
      <c r="K42" s="1450"/>
      <c r="L42" s="1447"/>
      <c r="M42" s="1472"/>
      <c r="N42" s="1442"/>
      <c r="O42" s="1450"/>
      <c r="P42" s="1442"/>
      <c r="Q42" s="1442"/>
      <c r="R42" s="1442"/>
      <c r="S42" s="1442"/>
      <c r="T42" s="1442"/>
      <c r="U42" s="1442"/>
      <c r="V42" s="1442"/>
      <c r="W42" s="1442"/>
      <c r="X42" s="1442"/>
      <c r="Y42" s="1442"/>
      <c r="Z42" s="1442"/>
      <c r="AA42" s="1445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473">
        <v>3</v>
      </c>
      <c r="B44" s="1478" t="s">
        <v>101</v>
      </c>
      <c r="C44" s="1479"/>
      <c r="D44" s="1479">
        <v>757</v>
      </c>
      <c r="E44" s="1479"/>
      <c r="F44" s="1482" t="s">
        <v>171</v>
      </c>
      <c r="G44" s="1482"/>
      <c r="H44" s="1482"/>
      <c r="I44" s="1482"/>
      <c r="J44" s="1468">
        <v>2008</v>
      </c>
      <c r="K44" s="1468">
        <v>2021</v>
      </c>
      <c r="L44" s="1464">
        <f>SUM(N44,L50)</f>
        <v>11667000</v>
      </c>
      <c r="M44" s="1466" t="s">
        <v>120</v>
      </c>
      <c r="N44" s="1451">
        <f>SUM(N48:N55)</f>
        <v>10228511</v>
      </c>
      <c r="O44" s="1468" t="s">
        <v>112</v>
      </c>
      <c r="P44" s="1451">
        <f t="shared" ref="P44:AA44" si="2">SUM(P48:P55)</f>
        <v>1022154</v>
      </c>
      <c r="Q44" s="1451">
        <f t="shared" si="2"/>
        <v>1022155</v>
      </c>
      <c r="R44" s="1451">
        <f t="shared" si="2"/>
        <v>1022155</v>
      </c>
      <c r="S44" s="1451">
        <f t="shared" si="2"/>
        <v>1022155</v>
      </c>
      <c r="T44" s="1451">
        <f t="shared" si="2"/>
        <v>1022155</v>
      </c>
      <c r="U44" s="1451">
        <f t="shared" si="2"/>
        <v>1022155</v>
      </c>
      <c r="V44" s="1451">
        <f t="shared" si="2"/>
        <v>1022155</v>
      </c>
      <c r="W44" s="1451">
        <f t="shared" si="2"/>
        <v>1022155</v>
      </c>
      <c r="X44" s="1451">
        <f t="shared" si="2"/>
        <v>1022155</v>
      </c>
      <c r="Y44" s="1451">
        <f>SUM(Y48:Y55)</f>
        <v>1029117</v>
      </c>
      <c r="Z44" s="1451">
        <f t="shared" si="2"/>
        <v>0</v>
      </c>
      <c r="AA44" s="1453">
        <f t="shared" si="2"/>
        <v>0</v>
      </c>
    </row>
    <row r="45" spans="1:27">
      <c r="A45" s="1474"/>
      <c r="B45" s="1480"/>
      <c r="C45" s="1481"/>
      <c r="D45" s="1481"/>
      <c r="E45" s="1481"/>
      <c r="F45" s="1483"/>
      <c r="G45" s="1483"/>
      <c r="H45" s="1483"/>
      <c r="I45" s="1483"/>
      <c r="J45" s="1449"/>
      <c r="K45" s="1449"/>
      <c r="L45" s="1465"/>
      <c r="M45" s="1467"/>
      <c r="N45" s="1452"/>
      <c r="O45" s="1449"/>
      <c r="P45" s="1452"/>
      <c r="Q45" s="1452"/>
      <c r="R45" s="1452"/>
      <c r="S45" s="1452"/>
      <c r="T45" s="1452"/>
      <c r="U45" s="1452"/>
      <c r="V45" s="1452"/>
      <c r="W45" s="1452"/>
      <c r="X45" s="1452"/>
      <c r="Y45" s="1452"/>
      <c r="Z45" s="1452"/>
      <c r="AA45" s="1454"/>
    </row>
    <row r="46" spans="1:27">
      <c r="A46" s="1474"/>
      <c r="B46" s="1492" t="s">
        <v>107</v>
      </c>
      <c r="C46" s="1493"/>
      <c r="D46" s="1493">
        <v>75704</v>
      </c>
      <c r="E46" s="1493"/>
      <c r="F46" s="1483" t="s">
        <v>172</v>
      </c>
      <c r="G46" s="1483"/>
      <c r="H46" s="1483"/>
      <c r="I46" s="1483"/>
      <c r="J46" s="1449"/>
      <c r="K46" s="1449"/>
      <c r="L46" s="1465"/>
      <c r="M46" s="1467"/>
      <c r="N46" s="1452"/>
      <c r="O46" s="1449"/>
      <c r="P46" s="1452"/>
      <c r="Q46" s="1452"/>
      <c r="R46" s="1452"/>
      <c r="S46" s="1452"/>
      <c r="T46" s="1452"/>
      <c r="U46" s="1452"/>
      <c r="V46" s="1452"/>
      <c r="W46" s="1452"/>
      <c r="X46" s="1452"/>
      <c r="Y46" s="1452"/>
      <c r="Z46" s="1452"/>
      <c r="AA46" s="1454"/>
    </row>
    <row r="47" spans="1:27">
      <c r="A47" s="1474"/>
      <c r="B47" s="1494"/>
      <c r="C47" s="1448"/>
      <c r="D47" s="1448"/>
      <c r="E47" s="1448"/>
      <c r="F47" s="1483"/>
      <c r="G47" s="1483"/>
      <c r="H47" s="1483"/>
      <c r="I47" s="1483"/>
      <c r="J47" s="1449"/>
      <c r="K47" s="1449"/>
      <c r="L47" s="1465"/>
      <c r="M47" s="1467"/>
      <c r="N47" s="1452"/>
      <c r="O47" s="1469"/>
      <c r="P47" s="1452"/>
      <c r="Q47" s="1452"/>
      <c r="R47" s="1452"/>
      <c r="S47" s="1452"/>
      <c r="T47" s="1452"/>
      <c r="U47" s="1452"/>
      <c r="V47" s="1452"/>
      <c r="W47" s="1452"/>
      <c r="X47" s="1452"/>
      <c r="Y47" s="1452"/>
      <c r="Z47" s="1452"/>
      <c r="AA47" s="1454"/>
    </row>
    <row r="48" spans="1:27">
      <c r="A48" s="1475"/>
      <c r="B48" s="1485" t="s">
        <v>180</v>
      </c>
      <c r="C48" s="1485"/>
      <c r="D48" s="1485"/>
      <c r="E48" s="1485"/>
      <c r="F48" s="1485"/>
      <c r="G48" s="1485"/>
      <c r="H48" s="1485"/>
      <c r="I48" s="1485"/>
      <c r="J48" s="1484"/>
      <c r="K48" s="1449"/>
      <c r="L48" s="1465"/>
      <c r="M48" s="1470">
        <v>75704</v>
      </c>
      <c r="N48" s="1440">
        <f>SUM(P48:Z55)</f>
        <v>10228511</v>
      </c>
      <c r="O48" s="1448" t="s">
        <v>112</v>
      </c>
      <c r="P48" s="1440">
        <v>1022154</v>
      </c>
      <c r="Q48" s="1440">
        <v>1022155</v>
      </c>
      <c r="R48" s="1440">
        <v>1022155</v>
      </c>
      <c r="S48" s="1440">
        <v>1022155</v>
      </c>
      <c r="T48" s="1440">
        <v>1022155</v>
      </c>
      <c r="U48" s="1440">
        <v>1022155</v>
      </c>
      <c r="V48" s="1440">
        <v>1022155</v>
      </c>
      <c r="W48" s="1440">
        <v>1022155</v>
      </c>
      <c r="X48" s="1440">
        <v>1022155</v>
      </c>
      <c r="Y48" s="1440">
        <v>1029117</v>
      </c>
      <c r="Z48" s="1440">
        <v>0</v>
      </c>
      <c r="AA48" s="1443">
        <v>0</v>
      </c>
    </row>
    <row r="49" spans="1:27">
      <c r="A49" s="1475"/>
      <c r="B49" s="1485"/>
      <c r="C49" s="1485"/>
      <c r="D49" s="1485"/>
      <c r="E49" s="1485"/>
      <c r="F49" s="1485"/>
      <c r="G49" s="1485"/>
      <c r="H49" s="1485"/>
      <c r="I49" s="1485"/>
      <c r="J49" s="1484"/>
      <c r="K49" s="1449"/>
      <c r="L49" s="1465"/>
      <c r="M49" s="1471"/>
      <c r="N49" s="1441"/>
      <c r="O49" s="1449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4"/>
    </row>
    <row r="50" spans="1:27">
      <c r="A50" s="1475"/>
      <c r="B50" s="1485"/>
      <c r="C50" s="1485"/>
      <c r="D50" s="1485"/>
      <c r="E50" s="1485"/>
      <c r="F50" s="1485"/>
      <c r="G50" s="1485"/>
      <c r="H50" s="1485"/>
      <c r="I50" s="1485"/>
      <c r="J50" s="1484"/>
      <c r="K50" s="1449"/>
      <c r="L50" s="1446">
        <v>1438489</v>
      </c>
      <c r="M50" s="1471"/>
      <c r="N50" s="1441"/>
      <c r="O50" s="1449"/>
      <c r="P50" s="1441"/>
      <c r="Q50" s="1441"/>
      <c r="R50" s="1441"/>
      <c r="S50" s="1441"/>
      <c r="T50" s="1441"/>
      <c r="U50" s="1441"/>
      <c r="V50" s="1441"/>
      <c r="W50" s="1441"/>
      <c r="X50" s="1441"/>
      <c r="Y50" s="1441"/>
      <c r="Z50" s="1441"/>
      <c r="AA50" s="1444"/>
    </row>
    <row r="51" spans="1:27">
      <c r="A51" s="1475"/>
      <c r="B51" s="1485"/>
      <c r="C51" s="1485"/>
      <c r="D51" s="1485"/>
      <c r="E51" s="1485"/>
      <c r="F51" s="1485"/>
      <c r="G51" s="1485"/>
      <c r="H51" s="1485"/>
      <c r="I51" s="1485"/>
      <c r="J51" s="1484"/>
      <c r="K51" s="1449"/>
      <c r="L51" s="1446"/>
      <c r="M51" s="1471"/>
      <c r="N51" s="1441"/>
      <c r="O51" s="1449"/>
      <c r="P51" s="1441"/>
      <c r="Q51" s="1441"/>
      <c r="R51" s="1441"/>
      <c r="S51" s="1441"/>
      <c r="T51" s="1441"/>
      <c r="U51" s="1441"/>
      <c r="V51" s="1441"/>
      <c r="W51" s="1441"/>
      <c r="X51" s="1441"/>
      <c r="Y51" s="1441"/>
      <c r="Z51" s="1441"/>
      <c r="AA51" s="1444"/>
    </row>
    <row r="52" spans="1:27">
      <c r="A52" s="1476"/>
      <c r="B52" s="1486" t="s">
        <v>181</v>
      </c>
      <c r="C52" s="1487"/>
      <c r="D52" s="1487"/>
      <c r="E52" s="1487"/>
      <c r="F52" s="1487"/>
      <c r="G52" s="1487"/>
      <c r="H52" s="1487"/>
      <c r="I52" s="1488"/>
      <c r="J52" s="1449"/>
      <c r="K52" s="1449"/>
      <c r="L52" s="1446"/>
      <c r="M52" s="1471"/>
      <c r="N52" s="1441"/>
      <c r="O52" s="1449"/>
      <c r="P52" s="1441"/>
      <c r="Q52" s="1441"/>
      <c r="R52" s="1441"/>
      <c r="S52" s="1441"/>
      <c r="T52" s="1441"/>
      <c r="U52" s="1441"/>
      <c r="V52" s="1441"/>
      <c r="W52" s="1441"/>
      <c r="X52" s="1441"/>
      <c r="Y52" s="1441"/>
      <c r="Z52" s="1441"/>
      <c r="AA52" s="1444"/>
    </row>
    <row r="53" spans="1:27">
      <c r="A53" s="1476"/>
      <c r="B53" s="1486"/>
      <c r="C53" s="1487"/>
      <c r="D53" s="1487"/>
      <c r="E53" s="1487"/>
      <c r="F53" s="1487"/>
      <c r="G53" s="1487"/>
      <c r="H53" s="1487"/>
      <c r="I53" s="1488"/>
      <c r="J53" s="1449"/>
      <c r="K53" s="1449"/>
      <c r="L53" s="1446"/>
      <c r="M53" s="1471"/>
      <c r="N53" s="1441"/>
      <c r="O53" s="1449"/>
      <c r="P53" s="1441"/>
      <c r="Q53" s="1441"/>
      <c r="R53" s="1441"/>
      <c r="S53" s="1441"/>
      <c r="T53" s="1441"/>
      <c r="U53" s="1441"/>
      <c r="V53" s="1441"/>
      <c r="W53" s="1441"/>
      <c r="X53" s="1441"/>
      <c r="Y53" s="1441"/>
      <c r="Z53" s="1441"/>
      <c r="AA53" s="1444"/>
    </row>
    <row r="54" spans="1:27">
      <c r="A54" s="1476"/>
      <c r="B54" s="1486"/>
      <c r="C54" s="1487"/>
      <c r="D54" s="1487"/>
      <c r="E54" s="1487"/>
      <c r="F54" s="1487"/>
      <c r="G54" s="1487"/>
      <c r="H54" s="1487"/>
      <c r="I54" s="1488"/>
      <c r="J54" s="1449"/>
      <c r="K54" s="1449"/>
      <c r="L54" s="1446"/>
      <c r="M54" s="1471"/>
      <c r="N54" s="1441"/>
      <c r="O54" s="1449"/>
      <c r="P54" s="1441"/>
      <c r="Q54" s="1441"/>
      <c r="R54" s="1441"/>
      <c r="S54" s="1441"/>
      <c r="T54" s="1441"/>
      <c r="U54" s="1441"/>
      <c r="V54" s="1441"/>
      <c r="W54" s="1441"/>
      <c r="X54" s="1441"/>
      <c r="Y54" s="1441"/>
      <c r="Z54" s="1441"/>
      <c r="AA54" s="1444"/>
    </row>
    <row r="55" spans="1:27" ht="13.5" thickBot="1">
      <c r="A55" s="1477"/>
      <c r="B55" s="1489"/>
      <c r="C55" s="1490"/>
      <c r="D55" s="1490"/>
      <c r="E55" s="1490"/>
      <c r="F55" s="1490"/>
      <c r="G55" s="1490"/>
      <c r="H55" s="1490"/>
      <c r="I55" s="1491"/>
      <c r="J55" s="1450"/>
      <c r="K55" s="1450"/>
      <c r="L55" s="1447"/>
      <c r="M55" s="1472"/>
      <c r="N55" s="1442"/>
      <c r="O55" s="1450"/>
      <c r="P55" s="1442"/>
      <c r="Q55" s="1442"/>
      <c r="R55" s="1442"/>
      <c r="S55" s="1442"/>
      <c r="T55" s="1442"/>
      <c r="U55" s="1442"/>
      <c r="V55" s="1442"/>
      <c r="W55" s="1442"/>
      <c r="X55" s="1442"/>
      <c r="Y55" s="1442"/>
      <c r="Z55" s="1442"/>
      <c r="AA55" s="1445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473">
        <v>4</v>
      </c>
      <c r="B57" s="1478" t="s">
        <v>101</v>
      </c>
      <c r="C57" s="1479"/>
      <c r="D57" s="1479">
        <v>757</v>
      </c>
      <c r="E57" s="1479"/>
      <c r="F57" s="1482" t="s">
        <v>171</v>
      </c>
      <c r="G57" s="1482"/>
      <c r="H57" s="1482"/>
      <c r="I57" s="1482"/>
      <c r="J57" s="1468">
        <v>2009</v>
      </c>
      <c r="K57" s="1468">
        <v>2017</v>
      </c>
      <c r="L57" s="1464">
        <f>SUM(N57,L63)</f>
        <v>7723984.0800000001</v>
      </c>
      <c r="M57" s="1466" t="s">
        <v>120</v>
      </c>
      <c r="N57" s="1451">
        <f>SUM(N61:N68)</f>
        <v>7003571.0800000001</v>
      </c>
      <c r="O57" s="1468" t="s">
        <v>112</v>
      </c>
      <c r="P57" s="1451">
        <f t="shared" ref="P57:AA57" si="3">SUM(P61:P68)</f>
        <v>1448659.19</v>
      </c>
      <c r="Q57" s="1451">
        <f t="shared" si="3"/>
        <v>1377513.52</v>
      </c>
      <c r="R57" s="1451">
        <f t="shared" si="3"/>
        <v>1273517.3400000001</v>
      </c>
      <c r="S57" s="1451">
        <f t="shared" si="3"/>
        <v>1212370.45</v>
      </c>
      <c r="T57" s="1451">
        <f t="shared" si="3"/>
        <v>1133486.48</v>
      </c>
      <c r="U57" s="1451">
        <f t="shared" si="3"/>
        <v>558024.1</v>
      </c>
      <c r="V57" s="1451">
        <f t="shared" si="3"/>
        <v>0</v>
      </c>
      <c r="W57" s="1451">
        <f t="shared" si="3"/>
        <v>0</v>
      </c>
      <c r="X57" s="1451">
        <f t="shared" si="3"/>
        <v>0</v>
      </c>
      <c r="Y57" s="1451">
        <f t="shared" si="3"/>
        <v>0</v>
      </c>
      <c r="Z57" s="1451">
        <f t="shared" si="3"/>
        <v>0</v>
      </c>
      <c r="AA57" s="1453">
        <f t="shared" si="3"/>
        <v>0</v>
      </c>
    </row>
    <row r="58" spans="1:27">
      <c r="A58" s="1474"/>
      <c r="B58" s="1480"/>
      <c r="C58" s="1481"/>
      <c r="D58" s="1481"/>
      <c r="E58" s="1481"/>
      <c r="F58" s="1483"/>
      <c r="G58" s="1483"/>
      <c r="H58" s="1483"/>
      <c r="I58" s="1483"/>
      <c r="J58" s="1449"/>
      <c r="K58" s="1449"/>
      <c r="L58" s="1465"/>
      <c r="M58" s="1467"/>
      <c r="N58" s="1452"/>
      <c r="O58" s="1449"/>
      <c r="P58" s="1452"/>
      <c r="Q58" s="1452"/>
      <c r="R58" s="1452"/>
      <c r="S58" s="1452"/>
      <c r="T58" s="1452"/>
      <c r="U58" s="1452"/>
      <c r="V58" s="1452"/>
      <c r="W58" s="1452"/>
      <c r="X58" s="1452"/>
      <c r="Y58" s="1452"/>
      <c r="Z58" s="1452"/>
      <c r="AA58" s="1454"/>
    </row>
    <row r="59" spans="1:27">
      <c r="A59" s="1474"/>
      <c r="B59" s="1492" t="s">
        <v>107</v>
      </c>
      <c r="C59" s="1493"/>
      <c r="D59" s="1493">
        <v>75704</v>
      </c>
      <c r="E59" s="1493"/>
      <c r="F59" s="1483" t="s">
        <v>172</v>
      </c>
      <c r="G59" s="1483"/>
      <c r="H59" s="1483"/>
      <c r="I59" s="1483"/>
      <c r="J59" s="1449"/>
      <c r="K59" s="1449"/>
      <c r="L59" s="1465"/>
      <c r="M59" s="1467"/>
      <c r="N59" s="1452"/>
      <c r="O59" s="1449"/>
      <c r="P59" s="1452"/>
      <c r="Q59" s="1452"/>
      <c r="R59" s="1452"/>
      <c r="S59" s="1452"/>
      <c r="T59" s="1452"/>
      <c r="U59" s="1452"/>
      <c r="V59" s="1452"/>
      <c r="W59" s="1452"/>
      <c r="X59" s="1452"/>
      <c r="Y59" s="1452"/>
      <c r="Z59" s="1452"/>
      <c r="AA59" s="1454"/>
    </row>
    <row r="60" spans="1:27">
      <c r="A60" s="1474"/>
      <c r="B60" s="1494"/>
      <c r="C60" s="1448"/>
      <c r="D60" s="1448"/>
      <c r="E60" s="1448"/>
      <c r="F60" s="1483"/>
      <c r="G60" s="1483"/>
      <c r="H60" s="1483"/>
      <c r="I60" s="1483"/>
      <c r="J60" s="1449"/>
      <c r="K60" s="1449"/>
      <c r="L60" s="1465"/>
      <c r="M60" s="1467"/>
      <c r="N60" s="1452"/>
      <c r="O60" s="1469"/>
      <c r="P60" s="1452"/>
      <c r="Q60" s="1452"/>
      <c r="R60" s="1452"/>
      <c r="S60" s="1452"/>
      <c r="T60" s="1452"/>
      <c r="U60" s="1452"/>
      <c r="V60" s="1452"/>
      <c r="W60" s="1452"/>
      <c r="X60" s="1452"/>
      <c r="Y60" s="1452"/>
      <c r="Z60" s="1452"/>
      <c r="AA60" s="1454"/>
    </row>
    <row r="61" spans="1:27">
      <c r="A61" s="1475"/>
      <c r="B61" s="1485" t="s">
        <v>182</v>
      </c>
      <c r="C61" s="1485"/>
      <c r="D61" s="1485"/>
      <c r="E61" s="1485"/>
      <c r="F61" s="1485"/>
      <c r="G61" s="1485"/>
      <c r="H61" s="1485"/>
      <c r="I61" s="1485"/>
      <c r="J61" s="1484"/>
      <c r="K61" s="1449"/>
      <c r="L61" s="1465"/>
      <c r="M61" s="1470">
        <v>75704</v>
      </c>
      <c r="N61" s="26" t="s">
        <v>174</v>
      </c>
      <c r="O61" s="1448" t="s">
        <v>112</v>
      </c>
      <c r="P61" s="1440">
        <v>999996</v>
      </c>
      <c r="Q61" s="1440">
        <v>999996</v>
      </c>
      <c r="R61" s="1440">
        <v>999996</v>
      </c>
      <c r="S61" s="1440">
        <v>999996</v>
      </c>
      <c r="T61" s="1440">
        <v>999996</v>
      </c>
      <c r="U61" s="1440">
        <v>479997</v>
      </c>
      <c r="V61" s="1440"/>
      <c r="W61" s="1440"/>
      <c r="X61" s="1440"/>
      <c r="Y61" s="1440"/>
      <c r="Z61" s="1440"/>
      <c r="AA61" s="1443">
        <v>0</v>
      </c>
    </row>
    <row r="62" spans="1:27">
      <c r="A62" s="1475"/>
      <c r="B62" s="1485"/>
      <c r="C62" s="1485"/>
      <c r="D62" s="1485"/>
      <c r="E62" s="1485"/>
      <c r="F62" s="1485"/>
      <c r="G62" s="1485"/>
      <c r="H62" s="1485"/>
      <c r="I62" s="1485"/>
      <c r="J62" s="1484"/>
      <c r="K62" s="1449"/>
      <c r="L62" s="1465"/>
      <c r="M62" s="1471"/>
      <c r="N62" s="1441">
        <f>SUM(P61:Z65)</f>
        <v>5479977</v>
      </c>
      <c r="O62" s="1449"/>
      <c r="P62" s="1441"/>
      <c r="Q62" s="1441"/>
      <c r="R62" s="1441"/>
      <c r="S62" s="1441"/>
      <c r="T62" s="1441"/>
      <c r="U62" s="1441"/>
      <c r="V62" s="1441"/>
      <c r="W62" s="1441"/>
      <c r="X62" s="1441"/>
      <c r="Y62" s="1441"/>
      <c r="Z62" s="1441"/>
      <c r="AA62" s="1444"/>
    </row>
    <row r="63" spans="1:27">
      <c r="A63" s="1475"/>
      <c r="B63" s="1485"/>
      <c r="C63" s="1485"/>
      <c r="D63" s="1485"/>
      <c r="E63" s="1485"/>
      <c r="F63" s="1485"/>
      <c r="G63" s="1485"/>
      <c r="H63" s="1485"/>
      <c r="I63" s="1485"/>
      <c r="J63" s="1484"/>
      <c r="K63" s="1449"/>
      <c r="L63" s="1446">
        <v>720413</v>
      </c>
      <c r="M63" s="1471"/>
      <c r="N63" s="1441"/>
      <c r="O63" s="1449"/>
      <c r="P63" s="1441"/>
      <c r="Q63" s="1441"/>
      <c r="R63" s="1441"/>
      <c r="S63" s="1441"/>
      <c r="T63" s="1441"/>
      <c r="U63" s="1441"/>
      <c r="V63" s="1441"/>
      <c r="W63" s="1441"/>
      <c r="X63" s="1441"/>
      <c r="Y63" s="1441"/>
      <c r="Z63" s="1441"/>
      <c r="AA63" s="1444"/>
    </row>
    <row r="64" spans="1:27">
      <c r="A64" s="1475"/>
      <c r="B64" s="1485"/>
      <c r="C64" s="1485"/>
      <c r="D64" s="1485"/>
      <c r="E64" s="1485"/>
      <c r="F64" s="1485"/>
      <c r="G64" s="1485"/>
      <c r="H64" s="1485"/>
      <c r="I64" s="1485"/>
      <c r="J64" s="1484"/>
      <c r="K64" s="1449"/>
      <c r="L64" s="1446"/>
      <c r="M64" s="1471"/>
      <c r="N64" s="1441"/>
      <c r="O64" s="1449"/>
      <c r="P64" s="1441"/>
      <c r="Q64" s="1441"/>
      <c r="R64" s="1441"/>
      <c r="S64" s="1441"/>
      <c r="T64" s="1441"/>
      <c r="U64" s="1441"/>
      <c r="V64" s="1441"/>
      <c r="W64" s="1441"/>
      <c r="X64" s="1441"/>
      <c r="Y64" s="1441"/>
      <c r="Z64" s="1441"/>
      <c r="AA64" s="1444"/>
    </row>
    <row r="65" spans="1:27">
      <c r="A65" s="1476"/>
      <c r="B65" s="1486" t="s">
        <v>175</v>
      </c>
      <c r="C65" s="1487"/>
      <c r="D65" s="1487"/>
      <c r="E65" s="1487"/>
      <c r="F65" s="1487"/>
      <c r="G65" s="1487"/>
      <c r="H65" s="1487"/>
      <c r="I65" s="1488"/>
      <c r="J65" s="1449"/>
      <c r="K65" s="1449"/>
      <c r="L65" s="1446"/>
      <c r="M65" s="1471"/>
      <c r="N65" s="1496"/>
      <c r="O65" s="1449"/>
      <c r="P65" s="1495"/>
      <c r="Q65" s="1495"/>
      <c r="R65" s="1495"/>
      <c r="S65" s="1495"/>
      <c r="T65" s="1495"/>
      <c r="U65" s="1495"/>
      <c r="V65" s="1495"/>
      <c r="W65" s="1495"/>
      <c r="X65" s="1495"/>
      <c r="Y65" s="1495"/>
      <c r="Z65" s="1495"/>
      <c r="AA65" s="1444"/>
    </row>
    <row r="66" spans="1:27">
      <c r="A66" s="1476"/>
      <c r="B66" s="1486"/>
      <c r="C66" s="1487"/>
      <c r="D66" s="1487"/>
      <c r="E66" s="1487"/>
      <c r="F66" s="1487"/>
      <c r="G66" s="1487"/>
      <c r="H66" s="1487"/>
      <c r="I66" s="1488"/>
      <c r="J66" s="1449"/>
      <c r="K66" s="1449"/>
      <c r="L66" s="1446"/>
      <c r="M66" s="1471"/>
      <c r="N66" s="27" t="s">
        <v>183</v>
      </c>
      <c r="O66" s="1449"/>
      <c r="P66" s="1497">
        <v>448663.19</v>
      </c>
      <c r="Q66" s="1441">
        <v>377517.52</v>
      </c>
      <c r="R66" s="1497">
        <v>273521.34000000003</v>
      </c>
      <c r="S66" s="1441">
        <v>212374.45</v>
      </c>
      <c r="T66" s="1441">
        <v>133490.48000000001</v>
      </c>
      <c r="U66" s="1441">
        <v>78027.100000000006</v>
      </c>
      <c r="V66" s="1497"/>
      <c r="W66" s="1497"/>
      <c r="X66" s="1497"/>
      <c r="Y66" s="1497"/>
      <c r="Z66" s="1497"/>
      <c r="AA66" s="1444"/>
    </row>
    <row r="67" spans="1:27">
      <c r="A67" s="1476"/>
      <c r="B67" s="1486"/>
      <c r="C67" s="1487"/>
      <c r="D67" s="1487"/>
      <c r="E67" s="1487"/>
      <c r="F67" s="1487"/>
      <c r="G67" s="1487"/>
      <c r="H67" s="1487"/>
      <c r="I67" s="1488"/>
      <c r="J67" s="1449"/>
      <c r="K67" s="1449"/>
      <c r="L67" s="1446"/>
      <c r="M67" s="1471"/>
      <c r="N67" s="1441">
        <f>SUM(P66:Z68)</f>
        <v>1523594.08</v>
      </c>
      <c r="O67" s="1449"/>
      <c r="P67" s="1441"/>
      <c r="Q67" s="1441"/>
      <c r="R67" s="1441"/>
      <c r="S67" s="1441"/>
      <c r="T67" s="1441"/>
      <c r="U67" s="1441"/>
      <c r="V67" s="1441"/>
      <c r="W67" s="1441"/>
      <c r="X67" s="1441"/>
      <c r="Y67" s="1441"/>
      <c r="Z67" s="1441"/>
      <c r="AA67" s="1444"/>
    </row>
    <row r="68" spans="1:27" ht="13.5" thickBot="1">
      <c r="A68" s="1477"/>
      <c r="B68" s="1489"/>
      <c r="C68" s="1490"/>
      <c r="D68" s="1490"/>
      <c r="E68" s="1490"/>
      <c r="F68" s="1490"/>
      <c r="G68" s="1490"/>
      <c r="H68" s="1490"/>
      <c r="I68" s="1491"/>
      <c r="J68" s="1450"/>
      <c r="K68" s="1450"/>
      <c r="L68" s="1447"/>
      <c r="M68" s="1472"/>
      <c r="N68" s="1442"/>
      <c r="O68" s="1450"/>
      <c r="P68" s="1442"/>
      <c r="Q68" s="1442"/>
      <c r="R68" s="1442"/>
      <c r="S68" s="1442"/>
      <c r="T68" s="1442"/>
      <c r="U68" s="1442"/>
      <c r="V68" s="1442"/>
      <c r="W68" s="1442"/>
      <c r="X68" s="1442"/>
      <c r="Y68" s="1442"/>
      <c r="Z68" s="1442"/>
      <c r="AA68" s="1445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473">
        <v>5</v>
      </c>
      <c r="B70" s="1478" t="s">
        <v>101</v>
      </c>
      <c r="C70" s="1479"/>
      <c r="D70" s="1479">
        <v>757</v>
      </c>
      <c r="E70" s="1479"/>
      <c r="F70" s="1482" t="s">
        <v>171</v>
      </c>
      <c r="G70" s="1482"/>
      <c r="H70" s="1482"/>
      <c r="I70" s="1482"/>
      <c r="J70" s="1468">
        <v>2010</v>
      </c>
      <c r="K70" s="1468">
        <v>2020</v>
      </c>
      <c r="L70" s="1464">
        <f>SUM(N70,L76)</f>
        <v>5589677</v>
      </c>
      <c r="M70" s="1466" t="s">
        <v>120</v>
      </c>
      <c r="N70" s="1451">
        <f>SUM(N74:N81)</f>
        <v>5434417</v>
      </c>
      <c r="O70" s="1468" t="s">
        <v>112</v>
      </c>
      <c r="P70" s="1451">
        <f t="shared" ref="P70:AA70" si="4">SUM(P74:P81)</f>
        <v>621040</v>
      </c>
      <c r="Q70" s="1451">
        <f t="shared" si="4"/>
        <v>621040</v>
      </c>
      <c r="R70" s="1451">
        <f t="shared" si="4"/>
        <v>621040</v>
      </c>
      <c r="S70" s="1451">
        <f t="shared" si="4"/>
        <v>621040</v>
      </c>
      <c r="T70" s="1451">
        <f t="shared" si="4"/>
        <v>621040</v>
      </c>
      <c r="U70" s="1451">
        <f t="shared" si="4"/>
        <v>621040</v>
      </c>
      <c r="V70" s="1451">
        <f t="shared" si="4"/>
        <v>621040</v>
      </c>
      <c r="W70" s="1451">
        <f t="shared" si="4"/>
        <v>621040</v>
      </c>
      <c r="X70" s="1451">
        <f t="shared" si="4"/>
        <v>466097</v>
      </c>
      <c r="Y70" s="1451">
        <f t="shared" si="4"/>
        <v>0</v>
      </c>
      <c r="Z70" s="1451">
        <f t="shared" si="4"/>
        <v>0</v>
      </c>
      <c r="AA70" s="1453">
        <f t="shared" si="4"/>
        <v>0</v>
      </c>
    </row>
    <row r="71" spans="1:27">
      <c r="A71" s="1474"/>
      <c r="B71" s="1480"/>
      <c r="C71" s="1481"/>
      <c r="D71" s="1481"/>
      <c r="E71" s="1481"/>
      <c r="F71" s="1483"/>
      <c r="G71" s="1483"/>
      <c r="H71" s="1483"/>
      <c r="I71" s="1483"/>
      <c r="J71" s="1449"/>
      <c r="K71" s="1449"/>
      <c r="L71" s="1465"/>
      <c r="M71" s="1467"/>
      <c r="N71" s="1452"/>
      <c r="O71" s="1449"/>
      <c r="P71" s="1452"/>
      <c r="Q71" s="1452"/>
      <c r="R71" s="1452"/>
      <c r="S71" s="1452"/>
      <c r="T71" s="1452"/>
      <c r="U71" s="1452"/>
      <c r="V71" s="1452"/>
      <c r="W71" s="1452"/>
      <c r="X71" s="1452"/>
      <c r="Y71" s="1452"/>
      <c r="Z71" s="1452"/>
      <c r="AA71" s="1454"/>
    </row>
    <row r="72" spans="1:27">
      <c r="A72" s="1474"/>
      <c r="B72" s="1492" t="s">
        <v>107</v>
      </c>
      <c r="C72" s="1493"/>
      <c r="D72" s="1493">
        <v>75704</v>
      </c>
      <c r="E72" s="1493"/>
      <c r="F72" s="1483" t="s">
        <v>172</v>
      </c>
      <c r="G72" s="1483"/>
      <c r="H72" s="1483"/>
      <c r="I72" s="1483"/>
      <c r="J72" s="1449"/>
      <c r="K72" s="1449"/>
      <c r="L72" s="1465"/>
      <c r="M72" s="1467"/>
      <c r="N72" s="1452"/>
      <c r="O72" s="1449"/>
      <c r="P72" s="1452"/>
      <c r="Q72" s="1452"/>
      <c r="R72" s="1452"/>
      <c r="S72" s="1452"/>
      <c r="T72" s="1452"/>
      <c r="U72" s="1452"/>
      <c r="V72" s="1452"/>
      <c r="W72" s="1452"/>
      <c r="X72" s="1452"/>
      <c r="Y72" s="1452"/>
      <c r="Z72" s="1452"/>
      <c r="AA72" s="1454"/>
    </row>
    <row r="73" spans="1:27">
      <c r="A73" s="1474"/>
      <c r="B73" s="1494"/>
      <c r="C73" s="1448"/>
      <c r="D73" s="1448"/>
      <c r="E73" s="1448"/>
      <c r="F73" s="1483"/>
      <c r="G73" s="1483"/>
      <c r="H73" s="1483"/>
      <c r="I73" s="1483"/>
      <c r="J73" s="1449"/>
      <c r="K73" s="1449"/>
      <c r="L73" s="1465"/>
      <c r="M73" s="1467"/>
      <c r="N73" s="1452"/>
      <c r="O73" s="1469"/>
      <c r="P73" s="1452"/>
      <c r="Q73" s="1452"/>
      <c r="R73" s="1452"/>
      <c r="S73" s="1452"/>
      <c r="T73" s="1452"/>
      <c r="U73" s="1452"/>
      <c r="V73" s="1452"/>
      <c r="W73" s="1452"/>
      <c r="X73" s="1452"/>
      <c r="Y73" s="1452"/>
      <c r="Z73" s="1452"/>
      <c r="AA73" s="1454"/>
    </row>
    <row r="74" spans="1:27">
      <c r="A74" s="1475"/>
      <c r="B74" s="1485" t="s">
        <v>184</v>
      </c>
      <c r="C74" s="1485"/>
      <c r="D74" s="1485"/>
      <c r="E74" s="1485"/>
      <c r="F74" s="1485"/>
      <c r="G74" s="1485"/>
      <c r="H74" s="1485"/>
      <c r="I74" s="1485"/>
      <c r="J74" s="1484"/>
      <c r="K74" s="1449"/>
      <c r="L74" s="1465"/>
      <c r="M74" s="1470">
        <v>75704</v>
      </c>
      <c r="N74" s="1440">
        <f>SUM(P74:Z81)</f>
        <v>5434417</v>
      </c>
      <c r="O74" s="1448" t="s">
        <v>112</v>
      </c>
      <c r="P74" s="1440">
        <v>621040</v>
      </c>
      <c r="Q74" s="1440">
        <v>621040</v>
      </c>
      <c r="R74" s="1440">
        <v>621040</v>
      </c>
      <c r="S74" s="1440">
        <v>621040</v>
      </c>
      <c r="T74" s="1440">
        <v>621040</v>
      </c>
      <c r="U74" s="1440">
        <v>621040</v>
      </c>
      <c r="V74" s="1440">
        <v>621040</v>
      </c>
      <c r="W74" s="1440">
        <v>621040</v>
      </c>
      <c r="X74" s="1440">
        <v>466097</v>
      </c>
      <c r="Y74" s="1440">
        <v>0</v>
      </c>
      <c r="Z74" s="1440">
        <v>0</v>
      </c>
      <c r="AA74" s="1443">
        <v>0</v>
      </c>
    </row>
    <row r="75" spans="1:27">
      <c r="A75" s="1475"/>
      <c r="B75" s="1485"/>
      <c r="C75" s="1485"/>
      <c r="D75" s="1485"/>
      <c r="E75" s="1485"/>
      <c r="F75" s="1485"/>
      <c r="G75" s="1485"/>
      <c r="H75" s="1485"/>
      <c r="I75" s="1485"/>
      <c r="J75" s="1484"/>
      <c r="K75" s="1449"/>
      <c r="L75" s="1465"/>
      <c r="M75" s="1471"/>
      <c r="N75" s="1441"/>
      <c r="O75" s="1449"/>
      <c r="P75" s="1441"/>
      <c r="Q75" s="1441"/>
      <c r="R75" s="1441"/>
      <c r="S75" s="1441"/>
      <c r="T75" s="1441"/>
      <c r="U75" s="1441"/>
      <c r="V75" s="1441"/>
      <c r="W75" s="1441"/>
      <c r="X75" s="1441"/>
      <c r="Y75" s="1441"/>
      <c r="Z75" s="1441"/>
      <c r="AA75" s="1444"/>
    </row>
    <row r="76" spans="1:27">
      <c r="A76" s="1475"/>
      <c r="B76" s="1485"/>
      <c r="C76" s="1485"/>
      <c r="D76" s="1485"/>
      <c r="E76" s="1485"/>
      <c r="F76" s="1485"/>
      <c r="G76" s="1485"/>
      <c r="H76" s="1485"/>
      <c r="I76" s="1485"/>
      <c r="J76" s="1484"/>
      <c r="K76" s="1449"/>
      <c r="L76" s="1446">
        <v>155260</v>
      </c>
      <c r="M76" s="1471"/>
      <c r="N76" s="1441"/>
      <c r="O76" s="1449"/>
      <c r="P76" s="1441"/>
      <c r="Q76" s="1441"/>
      <c r="R76" s="1441"/>
      <c r="S76" s="1441"/>
      <c r="T76" s="1441"/>
      <c r="U76" s="1441"/>
      <c r="V76" s="1441"/>
      <c r="W76" s="1441"/>
      <c r="X76" s="1441"/>
      <c r="Y76" s="1441"/>
      <c r="Z76" s="1441"/>
      <c r="AA76" s="1444"/>
    </row>
    <row r="77" spans="1:27">
      <c r="A77" s="1475"/>
      <c r="B77" s="1485"/>
      <c r="C77" s="1485"/>
      <c r="D77" s="1485"/>
      <c r="E77" s="1485"/>
      <c r="F77" s="1485"/>
      <c r="G77" s="1485"/>
      <c r="H77" s="1485"/>
      <c r="I77" s="1485"/>
      <c r="J77" s="1484"/>
      <c r="K77" s="1449"/>
      <c r="L77" s="1446"/>
      <c r="M77" s="1471"/>
      <c r="N77" s="1441"/>
      <c r="O77" s="1449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4"/>
    </row>
    <row r="78" spans="1:27">
      <c r="A78" s="1476"/>
      <c r="B78" s="1486" t="s">
        <v>181</v>
      </c>
      <c r="C78" s="1487"/>
      <c r="D78" s="1487"/>
      <c r="E78" s="1487"/>
      <c r="F78" s="1487"/>
      <c r="G78" s="1487"/>
      <c r="H78" s="1487"/>
      <c r="I78" s="1488"/>
      <c r="J78" s="1449"/>
      <c r="K78" s="1449"/>
      <c r="L78" s="1446"/>
      <c r="M78" s="1471"/>
      <c r="N78" s="1441"/>
      <c r="O78" s="1449"/>
      <c r="P78" s="1441"/>
      <c r="Q78" s="1441"/>
      <c r="R78" s="1441"/>
      <c r="S78" s="1441"/>
      <c r="T78" s="1441"/>
      <c r="U78" s="1441"/>
      <c r="V78" s="1441"/>
      <c r="W78" s="1441"/>
      <c r="X78" s="1441"/>
      <c r="Y78" s="1441"/>
      <c r="Z78" s="1441"/>
      <c r="AA78" s="1444"/>
    </row>
    <row r="79" spans="1:27">
      <c r="A79" s="1476"/>
      <c r="B79" s="1486"/>
      <c r="C79" s="1487"/>
      <c r="D79" s="1487"/>
      <c r="E79" s="1487"/>
      <c r="F79" s="1487"/>
      <c r="G79" s="1487"/>
      <c r="H79" s="1487"/>
      <c r="I79" s="1488"/>
      <c r="J79" s="1449"/>
      <c r="K79" s="1449"/>
      <c r="L79" s="1446"/>
      <c r="M79" s="1471"/>
      <c r="N79" s="1441"/>
      <c r="O79" s="1449"/>
      <c r="P79" s="1441"/>
      <c r="Q79" s="1441"/>
      <c r="R79" s="1441"/>
      <c r="S79" s="1441"/>
      <c r="T79" s="1441"/>
      <c r="U79" s="1441"/>
      <c r="V79" s="1441"/>
      <c r="W79" s="1441"/>
      <c r="X79" s="1441"/>
      <c r="Y79" s="1441"/>
      <c r="Z79" s="1441"/>
      <c r="AA79" s="1444"/>
    </row>
    <row r="80" spans="1:27">
      <c r="A80" s="1476"/>
      <c r="B80" s="1486"/>
      <c r="C80" s="1487"/>
      <c r="D80" s="1487"/>
      <c r="E80" s="1487"/>
      <c r="F80" s="1487"/>
      <c r="G80" s="1487"/>
      <c r="H80" s="1487"/>
      <c r="I80" s="1488"/>
      <c r="J80" s="1449"/>
      <c r="K80" s="1449"/>
      <c r="L80" s="1446"/>
      <c r="M80" s="1471"/>
      <c r="N80" s="1441"/>
      <c r="O80" s="1449"/>
      <c r="P80" s="1441"/>
      <c r="Q80" s="1441"/>
      <c r="R80" s="1441"/>
      <c r="S80" s="1441"/>
      <c r="T80" s="1441"/>
      <c r="U80" s="1441"/>
      <c r="V80" s="1441"/>
      <c r="W80" s="1441"/>
      <c r="X80" s="1441"/>
      <c r="Y80" s="1441"/>
      <c r="Z80" s="1441"/>
      <c r="AA80" s="1444"/>
    </row>
    <row r="81" spans="1:27" ht="13.5" thickBot="1">
      <c r="A81" s="1477"/>
      <c r="B81" s="1489"/>
      <c r="C81" s="1490"/>
      <c r="D81" s="1490"/>
      <c r="E81" s="1490"/>
      <c r="F81" s="1490"/>
      <c r="G81" s="1490"/>
      <c r="H81" s="1490"/>
      <c r="I81" s="1491"/>
      <c r="J81" s="1450"/>
      <c r="K81" s="1450"/>
      <c r="L81" s="1447"/>
      <c r="M81" s="1472"/>
      <c r="N81" s="1442"/>
      <c r="O81" s="1450"/>
      <c r="P81" s="1442"/>
      <c r="Q81" s="1442"/>
      <c r="R81" s="1442"/>
      <c r="S81" s="1442"/>
      <c r="T81" s="1442"/>
      <c r="U81" s="1442"/>
      <c r="V81" s="1442"/>
      <c r="W81" s="1442"/>
      <c r="X81" s="1442"/>
      <c r="Y81" s="1442"/>
      <c r="Z81" s="1442"/>
      <c r="AA81" s="1445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473">
        <v>6</v>
      </c>
      <c r="B83" s="1478" t="s">
        <v>101</v>
      </c>
      <c r="C83" s="1479"/>
      <c r="D83" s="1479">
        <v>757</v>
      </c>
      <c r="E83" s="1479"/>
      <c r="F83" s="1482" t="s">
        <v>171</v>
      </c>
      <c r="G83" s="1482"/>
      <c r="H83" s="1482"/>
      <c r="I83" s="1482"/>
      <c r="J83" s="1468">
        <v>2010</v>
      </c>
      <c r="K83" s="1468">
        <v>2021</v>
      </c>
      <c r="L83" s="1464">
        <f>SUM(N83,L89)</f>
        <v>5333000</v>
      </c>
      <c r="M83" s="1466" t="s">
        <v>120</v>
      </c>
      <c r="N83" s="1451">
        <f>SUM(N87:N94)</f>
        <v>5333000</v>
      </c>
      <c r="O83" s="1468" t="s">
        <v>112</v>
      </c>
      <c r="P83" s="1451">
        <f t="shared" ref="P83:AA83" si="5">SUM(P87:P94)</f>
        <v>0</v>
      </c>
      <c r="Q83" s="1451">
        <f t="shared" si="5"/>
        <v>499969</v>
      </c>
      <c r="R83" s="1451">
        <f t="shared" si="5"/>
        <v>666625</v>
      </c>
      <c r="S83" s="1451">
        <f t="shared" si="5"/>
        <v>666625</v>
      </c>
      <c r="T83" s="1451">
        <f>SUM(T87:T94)</f>
        <v>666625</v>
      </c>
      <c r="U83" s="1451">
        <f t="shared" si="5"/>
        <v>666625</v>
      </c>
      <c r="V83" s="1451">
        <f t="shared" si="5"/>
        <v>666625</v>
      </c>
      <c r="W83" s="1451">
        <f t="shared" si="5"/>
        <v>666625</v>
      </c>
      <c r="X83" s="1451">
        <f t="shared" si="5"/>
        <v>666625</v>
      </c>
      <c r="Y83" s="1451">
        <f t="shared" si="5"/>
        <v>166656</v>
      </c>
      <c r="Z83" s="1451">
        <f t="shared" si="5"/>
        <v>0</v>
      </c>
      <c r="AA83" s="1453">
        <f t="shared" si="5"/>
        <v>0</v>
      </c>
    </row>
    <row r="84" spans="1:27">
      <c r="A84" s="1474"/>
      <c r="B84" s="1480"/>
      <c r="C84" s="1481"/>
      <c r="D84" s="1481"/>
      <c r="E84" s="1481"/>
      <c r="F84" s="1483"/>
      <c r="G84" s="1483"/>
      <c r="H84" s="1483"/>
      <c r="I84" s="1483"/>
      <c r="J84" s="1449"/>
      <c r="K84" s="1449"/>
      <c r="L84" s="1465"/>
      <c r="M84" s="1467"/>
      <c r="N84" s="1452"/>
      <c r="O84" s="1449"/>
      <c r="P84" s="1452"/>
      <c r="Q84" s="1452"/>
      <c r="R84" s="1452"/>
      <c r="S84" s="1452"/>
      <c r="T84" s="1452"/>
      <c r="U84" s="1452"/>
      <c r="V84" s="1452"/>
      <c r="W84" s="1452"/>
      <c r="X84" s="1452"/>
      <c r="Y84" s="1452"/>
      <c r="Z84" s="1452"/>
      <c r="AA84" s="1454"/>
    </row>
    <row r="85" spans="1:27">
      <c r="A85" s="1474"/>
      <c r="B85" s="1492" t="s">
        <v>107</v>
      </c>
      <c r="C85" s="1493"/>
      <c r="D85" s="1493">
        <v>75704</v>
      </c>
      <c r="E85" s="1493"/>
      <c r="F85" s="1483" t="s">
        <v>172</v>
      </c>
      <c r="G85" s="1483"/>
      <c r="H85" s="1483"/>
      <c r="I85" s="1483"/>
      <c r="J85" s="1449"/>
      <c r="K85" s="1449"/>
      <c r="L85" s="1465"/>
      <c r="M85" s="1467"/>
      <c r="N85" s="1452"/>
      <c r="O85" s="1449"/>
      <c r="P85" s="1452"/>
      <c r="Q85" s="1452"/>
      <c r="R85" s="1452"/>
      <c r="S85" s="1452"/>
      <c r="T85" s="1452"/>
      <c r="U85" s="1452"/>
      <c r="V85" s="1452"/>
      <c r="W85" s="1452"/>
      <c r="X85" s="1452"/>
      <c r="Y85" s="1452"/>
      <c r="Z85" s="1452"/>
      <c r="AA85" s="1454"/>
    </row>
    <row r="86" spans="1:27">
      <c r="A86" s="1474"/>
      <c r="B86" s="1494"/>
      <c r="C86" s="1448"/>
      <c r="D86" s="1448"/>
      <c r="E86" s="1448"/>
      <c r="F86" s="1483"/>
      <c r="G86" s="1483"/>
      <c r="H86" s="1483"/>
      <c r="I86" s="1483"/>
      <c r="J86" s="1449"/>
      <c r="K86" s="1449"/>
      <c r="L86" s="1465"/>
      <c r="M86" s="1467"/>
      <c r="N86" s="1452"/>
      <c r="O86" s="1469"/>
      <c r="P86" s="1452"/>
      <c r="Q86" s="1452"/>
      <c r="R86" s="1452"/>
      <c r="S86" s="1452"/>
      <c r="T86" s="1452"/>
      <c r="U86" s="1452"/>
      <c r="V86" s="1452"/>
      <c r="W86" s="1452"/>
      <c r="X86" s="1452"/>
      <c r="Y86" s="1452"/>
      <c r="Z86" s="1452"/>
      <c r="AA86" s="1454"/>
    </row>
    <row r="87" spans="1:27">
      <c r="A87" s="1475"/>
      <c r="B87" s="1485" t="s">
        <v>185</v>
      </c>
      <c r="C87" s="1485"/>
      <c r="D87" s="1485"/>
      <c r="E87" s="1485"/>
      <c r="F87" s="1485"/>
      <c r="G87" s="1485"/>
      <c r="H87" s="1485"/>
      <c r="I87" s="1485"/>
      <c r="J87" s="1484"/>
      <c r="K87" s="1449"/>
      <c r="L87" s="1465"/>
      <c r="M87" s="1470">
        <v>75704</v>
      </c>
      <c r="N87" s="1440">
        <f>SUM(P87:Z94)</f>
        <v>5333000</v>
      </c>
      <c r="O87" s="1448" t="s">
        <v>112</v>
      </c>
      <c r="P87" s="1440">
        <v>0</v>
      </c>
      <c r="Q87" s="1440">
        <v>499969</v>
      </c>
      <c r="R87" s="1440">
        <v>666625</v>
      </c>
      <c r="S87" s="1440">
        <v>666625</v>
      </c>
      <c r="T87" s="1440">
        <v>666625</v>
      </c>
      <c r="U87" s="1440">
        <v>666625</v>
      </c>
      <c r="V87" s="1440">
        <v>666625</v>
      </c>
      <c r="W87" s="1440">
        <v>666625</v>
      </c>
      <c r="X87" s="1440">
        <v>666625</v>
      </c>
      <c r="Y87" s="1440">
        <v>166656</v>
      </c>
      <c r="Z87" s="1440">
        <v>0</v>
      </c>
      <c r="AA87" s="1443">
        <v>0</v>
      </c>
    </row>
    <row r="88" spans="1:27">
      <c r="A88" s="1475"/>
      <c r="B88" s="1485"/>
      <c r="C88" s="1485"/>
      <c r="D88" s="1485"/>
      <c r="E88" s="1485"/>
      <c r="F88" s="1485"/>
      <c r="G88" s="1485"/>
      <c r="H88" s="1485"/>
      <c r="I88" s="1485"/>
      <c r="J88" s="1484"/>
      <c r="K88" s="1449"/>
      <c r="L88" s="1465"/>
      <c r="M88" s="1471"/>
      <c r="N88" s="1441"/>
      <c r="O88" s="1449"/>
      <c r="P88" s="1441"/>
      <c r="Q88" s="1441"/>
      <c r="R88" s="1441"/>
      <c r="S88" s="1441"/>
      <c r="T88" s="1441"/>
      <c r="U88" s="1441"/>
      <c r="V88" s="1441"/>
      <c r="W88" s="1441"/>
      <c r="X88" s="1441"/>
      <c r="Y88" s="1441"/>
      <c r="Z88" s="1441"/>
      <c r="AA88" s="1444"/>
    </row>
    <row r="89" spans="1:27">
      <c r="A89" s="1475"/>
      <c r="B89" s="1485"/>
      <c r="C89" s="1485"/>
      <c r="D89" s="1485"/>
      <c r="E89" s="1485"/>
      <c r="F89" s="1485"/>
      <c r="G89" s="1485"/>
      <c r="H89" s="1485"/>
      <c r="I89" s="1485"/>
      <c r="J89" s="1484"/>
      <c r="K89" s="1449"/>
      <c r="L89" s="1446">
        <v>0</v>
      </c>
      <c r="M89" s="1471"/>
      <c r="N89" s="1441"/>
      <c r="O89" s="1449"/>
      <c r="P89" s="1441"/>
      <c r="Q89" s="1441"/>
      <c r="R89" s="1441"/>
      <c r="S89" s="1441"/>
      <c r="T89" s="1441"/>
      <c r="U89" s="1441"/>
      <c r="V89" s="1441"/>
      <c r="W89" s="1441"/>
      <c r="X89" s="1441"/>
      <c r="Y89" s="1441"/>
      <c r="Z89" s="1441"/>
      <c r="AA89" s="1444"/>
    </row>
    <row r="90" spans="1:27">
      <c r="A90" s="1475"/>
      <c r="B90" s="1485"/>
      <c r="C90" s="1485"/>
      <c r="D90" s="1485"/>
      <c r="E90" s="1485"/>
      <c r="F90" s="1485"/>
      <c r="G90" s="1485"/>
      <c r="H90" s="1485"/>
      <c r="I90" s="1485"/>
      <c r="J90" s="1484"/>
      <c r="K90" s="1449"/>
      <c r="L90" s="1446"/>
      <c r="M90" s="1471"/>
      <c r="N90" s="1441"/>
      <c r="O90" s="1449"/>
      <c r="P90" s="1441"/>
      <c r="Q90" s="1441"/>
      <c r="R90" s="1441"/>
      <c r="S90" s="1441"/>
      <c r="T90" s="1441"/>
      <c r="U90" s="1441"/>
      <c r="V90" s="1441"/>
      <c r="W90" s="1441"/>
      <c r="X90" s="1441"/>
      <c r="Y90" s="1441"/>
      <c r="Z90" s="1441"/>
      <c r="AA90" s="1444"/>
    </row>
    <row r="91" spans="1:27">
      <c r="A91" s="1476"/>
      <c r="B91" s="1486" t="s">
        <v>181</v>
      </c>
      <c r="C91" s="1487"/>
      <c r="D91" s="1487"/>
      <c r="E91" s="1487"/>
      <c r="F91" s="1487"/>
      <c r="G91" s="1487"/>
      <c r="H91" s="1487"/>
      <c r="I91" s="1488"/>
      <c r="J91" s="1449"/>
      <c r="K91" s="1449"/>
      <c r="L91" s="1446"/>
      <c r="M91" s="1471"/>
      <c r="N91" s="1441"/>
      <c r="O91" s="1449"/>
      <c r="P91" s="1441"/>
      <c r="Q91" s="1441"/>
      <c r="R91" s="1441"/>
      <c r="S91" s="1441"/>
      <c r="T91" s="1441"/>
      <c r="U91" s="1441"/>
      <c r="V91" s="1441"/>
      <c r="W91" s="1441"/>
      <c r="X91" s="1441"/>
      <c r="Y91" s="1441"/>
      <c r="Z91" s="1441"/>
      <c r="AA91" s="1444"/>
    </row>
    <row r="92" spans="1:27">
      <c r="A92" s="1476"/>
      <c r="B92" s="1486"/>
      <c r="C92" s="1487"/>
      <c r="D92" s="1487"/>
      <c r="E92" s="1487"/>
      <c r="F92" s="1487"/>
      <c r="G92" s="1487"/>
      <c r="H92" s="1487"/>
      <c r="I92" s="1488"/>
      <c r="J92" s="1449"/>
      <c r="K92" s="1449"/>
      <c r="L92" s="1446"/>
      <c r="M92" s="1471"/>
      <c r="N92" s="1441"/>
      <c r="O92" s="1449"/>
      <c r="P92" s="1441"/>
      <c r="Q92" s="1441"/>
      <c r="R92" s="1441"/>
      <c r="S92" s="1441"/>
      <c r="T92" s="1441"/>
      <c r="U92" s="1441"/>
      <c r="V92" s="1441"/>
      <c r="W92" s="1441"/>
      <c r="X92" s="1441"/>
      <c r="Y92" s="1441"/>
      <c r="Z92" s="1441"/>
      <c r="AA92" s="1444"/>
    </row>
    <row r="93" spans="1:27">
      <c r="A93" s="1476"/>
      <c r="B93" s="1486"/>
      <c r="C93" s="1487"/>
      <c r="D93" s="1487"/>
      <c r="E93" s="1487"/>
      <c r="F93" s="1487"/>
      <c r="G93" s="1487"/>
      <c r="H93" s="1487"/>
      <c r="I93" s="1488"/>
      <c r="J93" s="1449"/>
      <c r="K93" s="1449"/>
      <c r="L93" s="1446"/>
      <c r="M93" s="1471"/>
      <c r="N93" s="1441"/>
      <c r="O93" s="1449"/>
      <c r="P93" s="1441"/>
      <c r="Q93" s="1441"/>
      <c r="R93" s="1441"/>
      <c r="S93" s="1441"/>
      <c r="T93" s="1441"/>
      <c r="U93" s="1441"/>
      <c r="V93" s="1441"/>
      <c r="W93" s="1441"/>
      <c r="X93" s="1441"/>
      <c r="Y93" s="1441"/>
      <c r="Z93" s="1441"/>
      <c r="AA93" s="1444"/>
    </row>
    <row r="94" spans="1:27" ht="13.5" thickBot="1">
      <c r="A94" s="1477"/>
      <c r="B94" s="1489"/>
      <c r="C94" s="1490"/>
      <c r="D94" s="1490"/>
      <c r="E94" s="1490"/>
      <c r="F94" s="1490"/>
      <c r="G94" s="1490"/>
      <c r="H94" s="1490"/>
      <c r="I94" s="1491"/>
      <c r="J94" s="1450"/>
      <c r="K94" s="1450"/>
      <c r="L94" s="1447"/>
      <c r="M94" s="1472"/>
      <c r="N94" s="1442"/>
      <c r="O94" s="1450"/>
      <c r="P94" s="1442"/>
      <c r="Q94" s="1442"/>
      <c r="R94" s="1442"/>
      <c r="S94" s="1442"/>
      <c r="T94" s="1442"/>
      <c r="U94" s="1442"/>
      <c r="V94" s="1442"/>
      <c r="W94" s="1442"/>
      <c r="X94" s="1442"/>
      <c r="Y94" s="1442"/>
      <c r="Z94" s="1442"/>
      <c r="AA94" s="1445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455" t="s">
        <v>186</v>
      </c>
      <c r="B96" s="1456"/>
      <c r="C96" s="1456"/>
      <c r="D96" s="1456"/>
      <c r="E96" s="1456"/>
      <c r="F96" s="1456"/>
      <c r="G96" s="1456"/>
      <c r="H96" s="1456"/>
      <c r="I96" s="1456"/>
      <c r="J96" s="1456"/>
      <c r="K96" s="1457"/>
      <c r="L96" s="1464">
        <f>SUM(N96,L102)</f>
        <v>41721545.109999999</v>
      </c>
      <c r="M96" s="1466" t="s">
        <v>120</v>
      </c>
      <c r="N96" s="1451">
        <f>IF(SUM(N100:N107)=(N83+N70+N57+N44+N31+N18),SUM(N100:N107),"błąd")</f>
        <v>37522722.109999999</v>
      </c>
      <c r="O96" s="1468" t="s">
        <v>112</v>
      </c>
      <c r="P96" s="1451">
        <f t="shared" ref="P96:AA96" si="6">SUM(P100:P107)</f>
        <v>4407746.83</v>
      </c>
      <c r="Q96" s="1451">
        <f t="shared" si="6"/>
        <v>4439363.4000000004</v>
      </c>
      <c r="R96" s="1451">
        <f t="shared" si="6"/>
        <v>4693844.83</v>
      </c>
      <c r="S96" s="1451">
        <f t="shared" si="6"/>
        <v>4588744.3100000005</v>
      </c>
      <c r="T96" s="1451">
        <f t="shared" si="6"/>
        <v>4264504.34</v>
      </c>
      <c r="U96" s="1451">
        <f t="shared" si="6"/>
        <v>3613997.98</v>
      </c>
      <c r="V96" s="1451">
        <f t="shared" si="6"/>
        <v>3055973.88</v>
      </c>
      <c r="W96" s="1451">
        <f t="shared" si="6"/>
        <v>3055973.88</v>
      </c>
      <c r="X96" s="1451">
        <f t="shared" si="6"/>
        <v>2901030.88</v>
      </c>
      <c r="Y96" s="1451">
        <f t="shared" si="6"/>
        <v>1941926.88</v>
      </c>
      <c r="Z96" s="1451">
        <f t="shared" si="6"/>
        <v>559614.9</v>
      </c>
      <c r="AA96" s="1453">
        <f t="shared" si="6"/>
        <v>0</v>
      </c>
    </row>
    <row r="97" spans="1:27">
      <c r="A97" s="1458"/>
      <c r="B97" s="1459"/>
      <c r="C97" s="1459"/>
      <c r="D97" s="1459"/>
      <c r="E97" s="1459"/>
      <c r="F97" s="1459"/>
      <c r="G97" s="1459"/>
      <c r="H97" s="1459"/>
      <c r="I97" s="1459"/>
      <c r="J97" s="1459"/>
      <c r="K97" s="1460"/>
      <c r="L97" s="1465"/>
      <c r="M97" s="1467"/>
      <c r="N97" s="1452"/>
      <c r="O97" s="1449"/>
      <c r="P97" s="1452"/>
      <c r="Q97" s="1452"/>
      <c r="R97" s="1452"/>
      <c r="S97" s="1452"/>
      <c r="T97" s="1452"/>
      <c r="U97" s="1452"/>
      <c r="V97" s="1452"/>
      <c r="W97" s="1452"/>
      <c r="X97" s="1452"/>
      <c r="Y97" s="1452"/>
      <c r="Z97" s="1452"/>
      <c r="AA97" s="1454"/>
    </row>
    <row r="98" spans="1:27">
      <c r="A98" s="1458"/>
      <c r="B98" s="1459"/>
      <c r="C98" s="1459"/>
      <c r="D98" s="1459"/>
      <c r="E98" s="1459"/>
      <c r="F98" s="1459"/>
      <c r="G98" s="1459"/>
      <c r="H98" s="1459"/>
      <c r="I98" s="1459"/>
      <c r="J98" s="1459"/>
      <c r="K98" s="1460"/>
      <c r="L98" s="1465"/>
      <c r="M98" s="1467"/>
      <c r="N98" s="1452"/>
      <c r="O98" s="1449"/>
      <c r="P98" s="1452"/>
      <c r="Q98" s="1452"/>
      <c r="R98" s="1452"/>
      <c r="S98" s="1452"/>
      <c r="T98" s="1452"/>
      <c r="U98" s="1452"/>
      <c r="V98" s="1452"/>
      <c r="W98" s="1452"/>
      <c r="X98" s="1452"/>
      <c r="Y98" s="1452"/>
      <c r="Z98" s="1452"/>
      <c r="AA98" s="1454"/>
    </row>
    <row r="99" spans="1:27">
      <c r="A99" s="1458"/>
      <c r="B99" s="1459"/>
      <c r="C99" s="1459"/>
      <c r="D99" s="1459"/>
      <c r="E99" s="1459"/>
      <c r="F99" s="1459"/>
      <c r="G99" s="1459"/>
      <c r="H99" s="1459"/>
      <c r="I99" s="1459"/>
      <c r="J99" s="1459"/>
      <c r="K99" s="1460"/>
      <c r="L99" s="1465"/>
      <c r="M99" s="1467"/>
      <c r="N99" s="1452"/>
      <c r="O99" s="1469"/>
      <c r="P99" s="1452"/>
      <c r="Q99" s="1452"/>
      <c r="R99" s="1452"/>
      <c r="S99" s="1452"/>
      <c r="T99" s="1452"/>
      <c r="U99" s="1452"/>
      <c r="V99" s="1452"/>
      <c r="W99" s="1452"/>
      <c r="X99" s="1452"/>
      <c r="Y99" s="1452"/>
      <c r="Z99" s="1452"/>
      <c r="AA99" s="1454"/>
    </row>
    <row r="100" spans="1:27">
      <c r="A100" s="1458"/>
      <c r="B100" s="1459"/>
      <c r="C100" s="1459"/>
      <c r="D100" s="1459"/>
      <c r="E100" s="1459"/>
      <c r="F100" s="1459"/>
      <c r="G100" s="1459"/>
      <c r="H100" s="1459"/>
      <c r="I100" s="1459"/>
      <c r="J100" s="1459"/>
      <c r="K100" s="1460"/>
      <c r="L100" s="1465"/>
      <c r="M100" s="1470">
        <v>75704</v>
      </c>
      <c r="N100" s="1440">
        <f>SUM(P100:Z107)</f>
        <v>37522722.109999999</v>
      </c>
      <c r="O100" s="1448" t="s">
        <v>112</v>
      </c>
      <c r="P100" s="1440">
        <f>SUM(P22,P27,P35,P48,P61,P66,P74,P87)</f>
        <v>4407746.83</v>
      </c>
      <c r="Q100" s="1440">
        <f t="shared" ref="Q100:Z100" si="7">SUM(Q22,Q27,Q35,Q48,Q61,Q66,Q74,Q87)</f>
        <v>4439363.4000000004</v>
      </c>
      <c r="R100" s="1440">
        <f t="shared" si="7"/>
        <v>4693844.83</v>
      </c>
      <c r="S100" s="1440">
        <f t="shared" si="7"/>
        <v>4588744.3100000005</v>
      </c>
      <c r="T100" s="1440">
        <f t="shared" si="7"/>
        <v>4264504.34</v>
      </c>
      <c r="U100" s="1440">
        <f t="shared" si="7"/>
        <v>3613997.98</v>
      </c>
      <c r="V100" s="1440">
        <f t="shared" si="7"/>
        <v>3055973.88</v>
      </c>
      <c r="W100" s="1440">
        <f t="shared" si="7"/>
        <v>3055973.88</v>
      </c>
      <c r="X100" s="1440">
        <f t="shared" si="7"/>
        <v>2901030.88</v>
      </c>
      <c r="Y100" s="1440">
        <f t="shared" si="7"/>
        <v>1941926.88</v>
      </c>
      <c r="Z100" s="1440">
        <f t="shared" si="7"/>
        <v>559614.9</v>
      </c>
      <c r="AA100" s="1443">
        <v>0</v>
      </c>
    </row>
    <row r="101" spans="1:27">
      <c r="A101" s="1458"/>
      <c r="B101" s="1459"/>
      <c r="C101" s="1459"/>
      <c r="D101" s="1459"/>
      <c r="E101" s="1459"/>
      <c r="F101" s="1459"/>
      <c r="G101" s="1459"/>
      <c r="H101" s="1459"/>
      <c r="I101" s="1459"/>
      <c r="J101" s="1459"/>
      <c r="K101" s="1460"/>
      <c r="L101" s="1465"/>
      <c r="M101" s="1471"/>
      <c r="N101" s="1441"/>
      <c r="O101" s="1449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4"/>
    </row>
    <row r="102" spans="1:27">
      <c r="A102" s="1458"/>
      <c r="B102" s="1459"/>
      <c r="C102" s="1459"/>
      <c r="D102" s="1459"/>
      <c r="E102" s="1459"/>
      <c r="F102" s="1459"/>
      <c r="G102" s="1459"/>
      <c r="H102" s="1459"/>
      <c r="I102" s="1459"/>
      <c r="J102" s="1459"/>
      <c r="K102" s="1460"/>
      <c r="L102" s="1446">
        <f>SUM(L24,L37,L50,L63,L76,L89)</f>
        <v>4198823</v>
      </c>
      <c r="M102" s="1471"/>
      <c r="N102" s="1441"/>
      <c r="O102" s="1449"/>
      <c r="P102" s="1441"/>
      <c r="Q102" s="1441"/>
      <c r="R102" s="1441"/>
      <c r="S102" s="1441"/>
      <c r="T102" s="1441"/>
      <c r="U102" s="1441"/>
      <c r="V102" s="1441"/>
      <c r="W102" s="1441"/>
      <c r="X102" s="1441"/>
      <c r="Y102" s="1441"/>
      <c r="Z102" s="1441"/>
      <c r="AA102" s="1444"/>
    </row>
    <row r="103" spans="1:27">
      <c r="A103" s="1458"/>
      <c r="B103" s="1459"/>
      <c r="C103" s="1459"/>
      <c r="D103" s="1459"/>
      <c r="E103" s="1459"/>
      <c r="F103" s="1459"/>
      <c r="G103" s="1459"/>
      <c r="H103" s="1459"/>
      <c r="I103" s="1459"/>
      <c r="J103" s="1459"/>
      <c r="K103" s="1460"/>
      <c r="L103" s="1446"/>
      <c r="M103" s="1471"/>
      <c r="N103" s="1441"/>
      <c r="O103" s="1449"/>
      <c r="P103" s="1441"/>
      <c r="Q103" s="1441"/>
      <c r="R103" s="1441"/>
      <c r="S103" s="1441"/>
      <c r="T103" s="1441"/>
      <c r="U103" s="1441"/>
      <c r="V103" s="1441"/>
      <c r="W103" s="1441"/>
      <c r="X103" s="1441"/>
      <c r="Y103" s="1441"/>
      <c r="Z103" s="1441"/>
      <c r="AA103" s="1444"/>
    </row>
    <row r="104" spans="1:27">
      <c r="A104" s="1458"/>
      <c r="B104" s="1459"/>
      <c r="C104" s="1459"/>
      <c r="D104" s="1459"/>
      <c r="E104" s="1459"/>
      <c r="F104" s="1459"/>
      <c r="G104" s="1459"/>
      <c r="H104" s="1459"/>
      <c r="I104" s="1459"/>
      <c r="J104" s="1459"/>
      <c r="K104" s="1460"/>
      <c r="L104" s="1446"/>
      <c r="M104" s="1471"/>
      <c r="N104" s="1441"/>
      <c r="O104" s="1449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4"/>
    </row>
    <row r="105" spans="1:27">
      <c r="A105" s="1458"/>
      <c r="B105" s="1459"/>
      <c r="C105" s="1459"/>
      <c r="D105" s="1459"/>
      <c r="E105" s="1459"/>
      <c r="F105" s="1459"/>
      <c r="G105" s="1459"/>
      <c r="H105" s="1459"/>
      <c r="I105" s="1459"/>
      <c r="J105" s="1459"/>
      <c r="K105" s="1460"/>
      <c r="L105" s="1446"/>
      <c r="M105" s="1471"/>
      <c r="N105" s="1441"/>
      <c r="O105" s="1449"/>
      <c r="P105" s="1441"/>
      <c r="Q105" s="1441"/>
      <c r="R105" s="1441"/>
      <c r="S105" s="1441"/>
      <c r="T105" s="1441"/>
      <c r="U105" s="1441"/>
      <c r="V105" s="1441"/>
      <c r="W105" s="1441"/>
      <c r="X105" s="1441"/>
      <c r="Y105" s="1441"/>
      <c r="Z105" s="1441"/>
      <c r="AA105" s="1444"/>
    </row>
    <row r="106" spans="1:27">
      <c r="A106" s="1458"/>
      <c r="B106" s="1459"/>
      <c r="C106" s="1459"/>
      <c r="D106" s="1459"/>
      <c r="E106" s="1459"/>
      <c r="F106" s="1459"/>
      <c r="G106" s="1459"/>
      <c r="H106" s="1459"/>
      <c r="I106" s="1459"/>
      <c r="J106" s="1459"/>
      <c r="K106" s="1460"/>
      <c r="L106" s="1446"/>
      <c r="M106" s="1471"/>
      <c r="N106" s="1441"/>
      <c r="O106" s="1449"/>
      <c r="P106" s="1441"/>
      <c r="Q106" s="1441"/>
      <c r="R106" s="1441"/>
      <c r="S106" s="1441"/>
      <c r="T106" s="1441"/>
      <c r="U106" s="1441"/>
      <c r="V106" s="1441"/>
      <c r="W106" s="1441"/>
      <c r="X106" s="1441"/>
      <c r="Y106" s="1441"/>
      <c r="Z106" s="1441"/>
      <c r="AA106" s="1444"/>
    </row>
    <row r="107" spans="1:27" ht="13.5" thickBot="1">
      <c r="A107" s="1461"/>
      <c r="B107" s="1462"/>
      <c r="C107" s="1462"/>
      <c r="D107" s="1462"/>
      <c r="E107" s="1462"/>
      <c r="F107" s="1462"/>
      <c r="G107" s="1462"/>
      <c r="H107" s="1462"/>
      <c r="I107" s="1462"/>
      <c r="J107" s="1462"/>
      <c r="K107" s="1463"/>
      <c r="L107" s="1447"/>
      <c r="M107" s="1472"/>
      <c r="N107" s="1442"/>
      <c r="O107" s="1450"/>
      <c r="P107" s="1442"/>
      <c r="Q107" s="1442"/>
      <c r="R107" s="1442"/>
      <c r="S107" s="1442"/>
      <c r="T107" s="1442"/>
      <c r="U107" s="1442"/>
      <c r="V107" s="1442"/>
      <c r="W107" s="1442"/>
      <c r="X107" s="1442"/>
      <c r="Y107" s="1442"/>
      <c r="Z107" s="1442"/>
      <c r="AA107" s="1445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</mergeCells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2:AD33"/>
  <sheetViews>
    <sheetView showZeros="0" view="pageBreakPreview" zoomScale="130" zoomScaleSheetLayoutView="130" workbookViewId="0">
      <selection activeCell="I65" sqref="I65"/>
    </sheetView>
  </sheetViews>
  <sheetFormatPr defaultRowHeight="12.75"/>
  <cols>
    <col min="1" max="1" width="9.140625" style="515"/>
    <col min="2" max="2" width="3.7109375" style="515" customWidth="1"/>
    <col min="3" max="4" width="13.7109375" style="551" customWidth="1"/>
    <col min="5" max="6" width="16.7109375" style="516" customWidth="1"/>
    <col min="7" max="7" width="16.85546875" style="516" customWidth="1"/>
    <col min="8" max="18" width="16.7109375" style="516" customWidth="1"/>
    <col min="19" max="30" width="13.7109375" style="516" customWidth="1"/>
    <col min="31" max="16384" width="9.140625" style="515"/>
  </cols>
  <sheetData>
    <row r="2" spans="1:30" ht="20.25">
      <c r="B2" s="1573" t="s">
        <v>308</v>
      </c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1573"/>
      <c r="Y2" s="1573"/>
      <c r="Z2" s="1573"/>
      <c r="AA2" s="1573"/>
      <c r="AB2" s="1573"/>
      <c r="AC2" s="1573"/>
      <c r="AD2" s="1573"/>
    </row>
    <row r="4" spans="1:30" ht="15">
      <c r="A4" s="517"/>
      <c r="B4" s="1556" t="s">
        <v>187</v>
      </c>
      <c r="C4" s="1558" t="s">
        <v>309</v>
      </c>
      <c r="D4" s="1559"/>
      <c r="E4" s="1562">
        <v>2012</v>
      </c>
      <c r="F4" s="1563"/>
      <c r="G4" s="1562">
        <f>E4+1</f>
        <v>2013</v>
      </c>
      <c r="H4" s="1563"/>
      <c r="I4" s="1562">
        <f>G4+1</f>
        <v>2014</v>
      </c>
      <c r="J4" s="1563"/>
      <c r="K4" s="1562">
        <f>I4+1</f>
        <v>2015</v>
      </c>
      <c r="L4" s="1563"/>
      <c r="M4" s="1562">
        <f>K4+1</f>
        <v>2016</v>
      </c>
      <c r="N4" s="1563"/>
      <c r="O4" s="1562">
        <f>M4+1</f>
        <v>2017</v>
      </c>
      <c r="P4" s="1563"/>
      <c r="Q4" s="1562">
        <f>O4+1</f>
        <v>2018</v>
      </c>
      <c r="R4" s="1563"/>
      <c r="S4" s="1562">
        <f>Q4+1</f>
        <v>2019</v>
      </c>
      <c r="T4" s="1563"/>
      <c r="U4" s="1562">
        <f>S4+1</f>
        <v>2020</v>
      </c>
      <c r="V4" s="1563"/>
      <c r="W4" s="1562">
        <f>U4+1</f>
        <v>2021</v>
      </c>
      <c r="X4" s="1563"/>
      <c r="Y4" s="1562">
        <f>W4+1</f>
        <v>2022</v>
      </c>
      <c r="Z4" s="1563"/>
      <c r="AA4" s="1562">
        <f>Y4+1</f>
        <v>2023</v>
      </c>
      <c r="AB4" s="1563"/>
      <c r="AC4" s="1562">
        <f>AA4+1</f>
        <v>2024</v>
      </c>
      <c r="AD4" s="1563"/>
    </row>
    <row r="5" spans="1:30" ht="15">
      <c r="A5" s="517"/>
      <c r="B5" s="1557"/>
      <c r="C5" s="1560"/>
      <c r="D5" s="1561"/>
      <c r="E5" s="518" t="s">
        <v>258</v>
      </c>
      <c r="F5" s="518" t="s">
        <v>259</v>
      </c>
      <c r="G5" s="518" t="s">
        <v>258</v>
      </c>
      <c r="H5" s="518" t="s">
        <v>259</v>
      </c>
      <c r="I5" s="518" t="s">
        <v>258</v>
      </c>
      <c r="J5" s="518" t="s">
        <v>259</v>
      </c>
      <c r="K5" s="518" t="s">
        <v>258</v>
      </c>
      <c r="L5" s="518" t="s">
        <v>259</v>
      </c>
      <c r="M5" s="518" t="s">
        <v>258</v>
      </c>
      <c r="N5" s="518" t="s">
        <v>259</v>
      </c>
      <c r="O5" s="518" t="s">
        <v>258</v>
      </c>
      <c r="P5" s="518" t="s">
        <v>259</v>
      </c>
      <c r="Q5" s="518" t="s">
        <v>258</v>
      </c>
      <c r="R5" s="518" t="s">
        <v>259</v>
      </c>
      <c r="S5" s="518" t="s">
        <v>258</v>
      </c>
      <c r="T5" s="518" t="s">
        <v>259</v>
      </c>
      <c r="U5" s="518" t="s">
        <v>258</v>
      </c>
      <c r="V5" s="518" t="s">
        <v>259</v>
      </c>
      <c r="W5" s="518" t="s">
        <v>258</v>
      </c>
      <c r="X5" s="518" t="s">
        <v>259</v>
      </c>
      <c r="Y5" s="518" t="s">
        <v>258</v>
      </c>
      <c r="Z5" s="518" t="s">
        <v>259</v>
      </c>
      <c r="AA5" s="518" t="s">
        <v>258</v>
      </c>
      <c r="AB5" s="518" t="s">
        <v>259</v>
      </c>
      <c r="AC5" s="518" t="s">
        <v>258</v>
      </c>
      <c r="AD5" s="518" t="s">
        <v>259</v>
      </c>
    </row>
    <row r="6" spans="1:30" ht="30" customHeight="1">
      <c r="A6" s="517"/>
      <c r="B6" s="519" t="s">
        <v>32</v>
      </c>
      <c r="C6" s="1564" t="s">
        <v>310</v>
      </c>
      <c r="D6" s="1565"/>
      <c r="E6" s="520">
        <f t="shared" ref="E6:AD6" si="0">SUM(E8:E10)</f>
        <v>6998867</v>
      </c>
      <c r="F6" s="520">
        <f t="shared" si="0"/>
        <v>2173467</v>
      </c>
      <c r="G6" s="520">
        <f t="shared" si="0"/>
        <v>10160865</v>
      </c>
      <c r="H6" s="520">
        <f t="shared" si="0"/>
        <v>2417057</v>
      </c>
      <c r="I6" s="520">
        <f t="shared" si="0"/>
        <v>4101396</v>
      </c>
      <c r="J6" s="520">
        <f t="shared" si="0"/>
        <v>1607817</v>
      </c>
      <c r="K6" s="520">
        <f t="shared" si="0"/>
        <v>4913994</v>
      </c>
      <c r="L6" s="520">
        <f t="shared" si="0"/>
        <v>1637794</v>
      </c>
      <c r="M6" s="520">
        <f t="shared" si="0"/>
        <v>7544277</v>
      </c>
      <c r="N6" s="520">
        <f t="shared" si="0"/>
        <v>1435840</v>
      </c>
      <c r="O6" s="520">
        <f t="shared" si="0"/>
        <v>7514964</v>
      </c>
      <c r="P6" s="520">
        <f t="shared" si="0"/>
        <v>1133170</v>
      </c>
      <c r="Q6" s="520">
        <f t="shared" si="0"/>
        <v>5463969</v>
      </c>
      <c r="R6" s="520">
        <f t="shared" si="0"/>
        <v>734087</v>
      </c>
      <c r="S6" s="520">
        <f t="shared" si="0"/>
        <v>5367151</v>
      </c>
      <c r="T6" s="520">
        <f t="shared" si="0"/>
        <v>463397</v>
      </c>
      <c r="U6" s="520">
        <f t="shared" si="0"/>
        <v>1346808</v>
      </c>
      <c r="V6" s="520">
        <f t="shared" si="0"/>
        <v>244700</v>
      </c>
      <c r="W6" s="520">
        <f t="shared" si="0"/>
        <v>1346808</v>
      </c>
      <c r="X6" s="520">
        <f t="shared" si="0"/>
        <v>205354</v>
      </c>
      <c r="Y6" s="520">
        <f t="shared" si="0"/>
        <v>1346808</v>
      </c>
      <c r="Z6" s="520">
        <f t="shared" si="0"/>
        <v>166407</v>
      </c>
      <c r="AA6" s="520">
        <f t="shared" si="0"/>
        <v>1346808</v>
      </c>
      <c r="AB6" s="520">
        <f t="shared" si="0"/>
        <v>127761</v>
      </c>
      <c r="AC6" s="520">
        <f t="shared" si="0"/>
        <v>1346808</v>
      </c>
      <c r="AD6" s="520">
        <f t="shared" si="0"/>
        <v>88614</v>
      </c>
    </row>
    <row r="7" spans="1:30" ht="19.149999999999999" customHeight="1">
      <c r="A7" s="517"/>
      <c r="B7" s="521"/>
      <c r="C7" s="522" t="s">
        <v>311</v>
      </c>
      <c r="D7" s="522"/>
      <c r="E7" s="523"/>
      <c r="F7" s="523"/>
      <c r="G7" s="523"/>
      <c r="H7" s="523"/>
      <c r="I7" s="523"/>
      <c r="J7" s="524"/>
      <c r="K7" s="523"/>
      <c r="L7" s="523"/>
      <c r="M7" s="523"/>
      <c r="N7" s="523"/>
      <c r="O7" s="523"/>
      <c r="P7" s="523"/>
      <c r="Q7" s="523"/>
      <c r="R7" s="523"/>
      <c r="S7" s="523"/>
      <c r="T7" s="524"/>
      <c r="U7" s="523"/>
      <c r="V7" s="523"/>
      <c r="W7" s="523"/>
      <c r="X7" s="523"/>
      <c r="Y7" s="523"/>
      <c r="Z7" s="523"/>
      <c r="AA7" s="523"/>
      <c r="AB7" s="523"/>
      <c r="AC7" s="523"/>
      <c r="AD7" s="524"/>
    </row>
    <row r="8" spans="1:30" ht="19.149999999999999" customHeight="1">
      <c r="A8" s="517"/>
      <c r="B8" s="519">
        <v>1</v>
      </c>
      <c r="C8" s="1564" t="s">
        <v>312</v>
      </c>
      <c r="D8" s="1565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</row>
    <row r="9" spans="1:30" ht="19.149999999999999" customHeight="1">
      <c r="A9" s="517"/>
      <c r="B9" s="519">
        <v>2</v>
      </c>
      <c r="C9" s="1564" t="s">
        <v>313</v>
      </c>
      <c r="D9" s="1565"/>
      <c r="E9" s="520">
        <f>'HSZ do złotówek'!G31</f>
        <v>698867</v>
      </c>
      <c r="F9" s="520">
        <f>'HSZ do złotówek'!H31</f>
        <v>76571</v>
      </c>
      <c r="G9" s="520">
        <f>'HSZ do złotówek'!I31</f>
        <v>660865</v>
      </c>
      <c r="H9" s="520">
        <f>'HSZ do złotówek'!J$31</f>
        <v>294826</v>
      </c>
      <c r="I9" s="520">
        <f>'HSZ do złotówek'!K$31</f>
        <v>601396</v>
      </c>
      <c r="J9" s="520">
        <f>'HSZ do złotówek'!L$31</f>
        <v>307817</v>
      </c>
      <c r="K9" s="520">
        <f>'HSZ do złotówek'!M$31</f>
        <v>1013994</v>
      </c>
      <c r="L9" s="520">
        <f>'HSZ do złotówek'!N$31</f>
        <v>437794</v>
      </c>
      <c r="M9" s="520">
        <f>'HSZ do złotówek'!O$31</f>
        <v>1544277</v>
      </c>
      <c r="N9" s="520">
        <f>'HSZ do złotówek'!P$31</f>
        <v>412567</v>
      </c>
      <c r="O9" s="520">
        <f>'HSZ do złotówek'!Q$31</f>
        <v>1514964</v>
      </c>
      <c r="P9" s="520">
        <f>'HSZ do złotówek'!R$31</f>
        <v>367846</v>
      </c>
      <c r="Q9" s="520">
        <f>'HSZ do złotówek'!S$31</f>
        <v>1463969</v>
      </c>
      <c r="R9" s="520">
        <f>'HSZ do złotówek'!T$31</f>
        <v>324777</v>
      </c>
      <c r="S9" s="520">
        <f>'HSZ do złotówek'!U$31</f>
        <v>1367151</v>
      </c>
      <c r="T9" s="520">
        <f>'HSZ do złotówek'!V$31</f>
        <v>283397</v>
      </c>
      <c r="U9" s="520">
        <f>'HSZ do złotówek'!W$31</f>
        <v>1346808</v>
      </c>
      <c r="V9" s="520">
        <f>'HSZ do złotówek'!X$31</f>
        <v>244700</v>
      </c>
      <c r="W9" s="520">
        <f>'HSZ do złotówek'!Y$31</f>
        <v>1346808</v>
      </c>
      <c r="X9" s="520">
        <f>'HSZ do złotówek'!Z$31</f>
        <v>205354</v>
      </c>
      <c r="Y9" s="520">
        <f>'HSZ do złotówek'!AA$31</f>
        <v>1346808</v>
      </c>
      <c r="Z9" s="520">
        <f>'HSZ do złotówek'!AB$31</f>
        <v>166407</v>
      </c>
      <c r="AA9" s="520">
        <f>'HSZ do złotówek'!AC$31</f>
        <v>1346808</v>
      </c>
      <c r="AB9" s="520">
        <f>'HSZ do złotówek'!AD$31</f>
        <v>127761</v>
      </c>
      <c r="AC9" s="520">
        <f>'HSZ do złotówek'!AE$31</f>
        <v>1346808</v>
      </c>
      <c r="AD9" s="520">
        <f>'HSZ do złotówek'!AF$31</f>
        <v>88614</v>
      </c>
    </row>
    <row r="10" spans="1:30" ht="25.5" customHeight="1" thickBot="1">
      <c r="A10" s="517"/>
      <c r="B10" s="525">
        <v>3</v>
      </c>
      <c r="C10" s="1566" t="s">
        <v>314</v>
      </c>
      <c r="D10" s="1567"/>
      <c r="E10" s="526">
        <f>'HSZ do złotówek'!G$42</f>
        <v>6300000</v>
      </c>
      <c r="F10" s="526">
        <f>'HSZ do złotówek'!H$42</f>
        <v>2096896</v>
      </c>
      <c r="G10" s="526">
        <f>'HSZ do złotówek'!I$42</f>
        <v>9500000</v>
      </c>
      <c r="H10" s="526">
        <f>'HSZ do złotówek'!J$42</f>
        <v>2122231</v>
      </c>
      <c r="I10" s="526">
        <f>'HSZ do złotówek'!K$42</f>
        <v>3500000</v>
      </c>
      <c r="J10" s="526">
        <f>'HSZ do złotówek'!L$42</f>
        <v>1300000</v>
      </c>
      <c r="K10" s="526">
        <f>'HSZ do złotówek'!M$42</f>
        <v>3900000</v>
      </c>
      <c r="L10" s="526">
        <f>'HSZ do złotówek'!N$42</f>
        <v>1200000</v>
      </c>
      <c r="M10" s="526">
        <f>'HSZ do złotówek'!O$42</f>
        <v>6000000</v>
      </c>
      <c r="N10" s="526">
        <f>'HSZ do złotówek'!P$42</f>
        <v>1023273</v>
      </c>
      <c r="O10" s="526">
        <f>'HSZ do złotówek'!Q$42</f>
        <v>6000000</v>
      </c>
      <c r="P10" s="526">
        <f>'HSZ do złotówek'!R$42</f>
        <v>765324</v>
      </c>
      <c r="Q10" s="526">
        <f>'HSZ do złotówek'!S$42</f>
        <v>4000000</v>
      </c>
      <c r="R10" s="526">
        <f>'HSZ do złotówek'!T$42</f>
        <v>409310</v>
      </c>
      <c r="S10" s="526">
        <f>'HSZ do złotówek'!U$42</f>
        <v>4000000</v>
      </c>
      <c r="T10" s="526">
        <f>'HSZ do złotówek'!V$42</f>
        <v>180000</v>
      </c>
      <c r="U10" s="526">
        <f>'HSZ do złotówek'!W$42</f>
        <v>0</v>
      </c>
      <c r="V10" s="526">
        <f>'HSZ do złotówek'!X$42</f>
        <v>0</v>
      </c>
      <c r="W10" s="526">
        <f>'HSZ do złotówek'!Y$42</f>
        <v>0</v>
      </c>
      <c r="X10" s="526">
        <f>'HSZ do złotówek'!Z$42</f>
        <v>0</v>
      </c>
      <c r="Y10" s="526">
        <f>'HSZ do złotówek'!AA$42</f>
        <v>0</v>
      </c>
      <c r="Z10" s="526">
        <f>'HSZ do złotówek'!AB$42</f>
        <v>0</v>
      </c>
      <c r="AA10" s="526">
        <f>'HSZ do złotówek'!AC$42</f>
        <v>0</v>
      </c>
      <c r="AB10" s="526">
        <f>'HSZ do złotówek'!AD$42</f>
        <v>0</v>
      </c>
      <c r="AC10" s="526">
        <f>'HSZ do złotówek'!AE$42</f>
        <v>0</v>
      </c>
      <c r="AD10" s="526">
        <f>'HSZ do złotówek'!AF$42</f>
        <v>0</v>
      </c>
    </row>
    <row r="11" spans="1:30" ht="19.149999999999999" customHeight="1" thickBot="1">
      <c r="A11" s="517"/>
      <c r="B11" s="527"/>
      <c r="C11" s="1568" t="s">
        <v>120</v>
      </c>
      <c r="D11" s="1569"/>
      <c r="E11" s="528">
        <f t="shared" ref="E11:AD11" si="1">E6</f>
        <v>6998867</v>
      </c>
      <c r="F11" s="528">
        <f t="shared" si="1"/>
        <v>2173467</v>
      </c>
      <c r="G11" s="528">
        <f t="shared" si="1"/>
        <v>10160865</v>
      </c>
      <c r="H11" s="528">
        <f t="shared" si="1"/>
        <v>2417057</v>
      </c>
      <c r="I11" s="528">
        <f t="shared" si="1"/>
        <v>4101396</v>
      </c>
      <c r="J11" s="528">
        <f t="shared" si="1"/>
        <v>1607817</v>
      </c>
      <c r="K11" s="528">
        <f t="shared" si="1"/>
        <v>4913994</v>
      </c>
      <c r="L11" s="528">
        <f t="shared" si="1"/>
        <v>1637794</v>
      </c>
      <c r="M11" s="528">
        <f t="shared" si="1"/>
        <v>7544277</v>
      </c>
      <c r="N11" s="528">
        <f t="shared" si="1"/>
        <v>1435840</v>
      </c>
      <c r="O11" s="528">
        <f t="shared" si="1"/>
        <v>7514964</v>
      </c>
      <c r="P11" s="528">
        <f t="shared" si="1"/>
        <v>1133170</v>
      </c>
      <c r="Q11" s="528">
        <f t="shared" si="1"/>
        <v>5463969</v>
      </c>
      <c r="R11" s="528">
        <f t="shared" si="1"/>
        <v>734087</v>
      </c>
      <c r="S11" s="528">
        <f t="shared" si="1"/>
        <v>5367151</v>
      </c>
      <c r="T11" s="528">
        <f t="shared" si="1"/>
        <v>463397</v>
      </c>
      <c r="U11" s="528">
        <f t="shared" si="1"/>
        <v>1346808</v>
      </c>
      <c r="V11" s="528">
        <f t="shared" si="1"/>
        <v>244700</v>
      </c>
      <c r="W11" s="528">
        <f t="shared" si="1"/>
        <v>1346808</v>
      </c>
      <c r="X11" s="528">
        <f t="shared" si="1"/>
        <v>205354</v>
      </c>
      <c r="Y11" s="528">
        <f t="shared" si="1"/>
        <v>1346808</v>
      </c>
      <c r="Z11" s="528">
        <f t="shared" si="1"/>
        <v>166407</v>
      </c>
      <c r="AA11" s="528">
        <f t="shared" si="1"/>
        <v>1346808</v>
      </c>
      <c r="AB11" s="528">
        <f t="shared" si="1"/>
        <v>127761</v>
      </c>
      <c r="AC11" s="528">
        <f t="shared" si="1"/>
        <v>1346808</v>
      </c>
      <c r="AD11" s="528">
        <f t="shared" si="1"/>
        <v>88614</v>
      </c>
    </row>
    <row r="12" spans="1:30" ht="25.5" customHeight="1">
      <c r="A12" s="517"/>
      <c r="B12" s="529" t="s">
        <v>33</v>
      </c>
      <c r="C12" s="1570" t="s">
        <v>315</v>
      </c>
      <c r="D12" s="1571"/>
      <c r="E12" s="601">
        <f t="shared" ref="E12:AD12" si="2">SUM(E14:E16)</f>
        <v>0</v>
      </c>
      <c r="F12" s="601">
        <f t="shared" si="2"/>
        <v>0</v>
      </c>
      <c r="G12" s="530">
        <f t="shared" si="2"/>
        <v>0</v>
      </c>
      <c r="H12" s="530">
        <f t="shared" si="2"/>
        <v>0</v>
      </c>
      <c r="I12" s="530">
        <f t="shared" si="2"/>
        <v>0</v>
      </c>
      <c r="J12" s="530">
        <f t="shared" si="2"/>
        <v>500000</v>
      </c>
      <c r="K12" s="530">
        <f t="shared" si="2"/>
        <v>0</v>
      </c>
      <c r="L12" s="530">
        <f>SUM(L14:L16)</f>
        <v>1137819</v>
      </c>
      <c r="M12" s="530">
        <f t="shared" si="2"/>
        <v>0</v>
      </c>
      <c r="N12" s="530">
        <f t="shared" si="2"/>
        <v>1180169</v>
      </c>
      <c r="O12" s="530">
        <f t="shared" si="2"/>
        <v>0</v>
      </c>
      <c r="P12" s="530">
        <f t="shared" si="2"/>
        <v>1180169</v>
      </c>
      <c r="Q12" s="530">
        <f t="shared" si="2"/>
        <v>0</v>
      </c>
      <c r="R12" s="530">
        <f t="shared" si="2"/>
        <v>1180169</v>
      </c>
      <c r="S12" s="530">
        <f t="shared" si="2"/>
        <v>0</v>
      </c>
      <c r="T12" s="530">
        <f t="shared" si="2"/>
        <v>1180169</v>
      </c>
      <c r="U12" s="530">
        <f t="shared" si="2"/>
        <v>2300000</v>
      </c>
      <c r="V12" s="530">
        <f t="shared" si="2"/>
        <v>1171094</v>
      </c>
      <c r="W12" s="530">
        <f t="shared" si="2"/>
        <v>4000000</v>
      </c>
      <c r="X12" s="530">
        <f t="shared" si="2"/>
        <v>1055492</v>
      </c>
      <c r="Y12" s="530">
        <f t="shared" si="2"/>
        <v>6000000</v>
      </c>
      <c r="Z12" s="530">
        <f t="shared" si="2"/>
        <v>858220</v>
      </c>
      <c r="AA12" s="530">
        <f t="shared" si="2"/>
        <v>5000000</v>
      </c>
      <c r="AB12" s="530">
        <f t="shared" si="2"/>
        <v>566682</v>
      </c>
      <c r="AC12" s="530">
        <f t="shared" si="2"/>
        <v>3000000</v>
      </c>
      <c r="AD12" s="530">
        <f t="shared" si="2"/>
        <v>205501</v>
      </c>
    </row>
    <row r="13" spans="1:30">
      <c r="A13" s="517"/>
      <c r="B13" s="521"/>
      <c r="C13" s="522" t="s">
        <v>316</v>
      </c>
      <c r="D13" s="522"/>
      <c r="E13" s="602"/>
      <c r="F13" s="602"/>
      <c r="G13" s="523"/>
      <c r="H13" s="523"/>
      <c r="I13" s="523"/>
      <c r="J13" s="524"/>
      <c r="K13" s="523"/>
      <c r="L13" s="523"/>
      <c r="M13" s="523"/>
      <c r="N13" s="523"/>
      <c r="O13" s="523"/>
      <c r="P13" s="523"/>
      <c r="Q13" s="523"/>
      <c r="R13" s="523"/>
      <c r="S13" s="523"/>
      <c r="T13" s="524"/>
      <c r="U13" s="523"/>
      <c r="V13" s="523"/>
      <c r="W13" s="523"/>
      <c r="X13" s="523"/>
      <c r="Y13" s="523"/>
      <c r="Z13" s="523"/>
      <c r="AA13" s="523"/>
      <c r="AB13" s="523"/>
      <c r="AC13" s="523"/>
      <c r="AD13" s="524"/>
    </row>
    <row r="14" spans="1:30">
      <c r="A14" s="517"/>
      <c r="B14" s="519">
        <v>1</v>
      </c>
      <c r="C14" s="1564" t="s">
        <v>312</v>
      </c>
      <c r="D14" s="1565"/>
      <c r="E14" s="603"/>
      <c r="F14" s="603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</row>
    <row r="15" spans="1:30">
      <c r="A15" s="517"/>
      <c r="B15" s="519">
        <v>2</v>
      </c>
      <c r="C15" s="1564" t="s">
        <v>313</v>
      </c>
      <c r="D15" s="1565"/>
      <c r="E15" s="603"/>
      <c r="F15" s="603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</row>
    <row r="16" spans="1:30" ht="25.5" customHeight="1" thickBot="1">
      <c r="A16" s="517"/>
      <c r="B16" s="525">
        <v>3</v>
      </c>
      <c r="C16" s="1566" t="s">
        <v>314</v>
      </c>
      <c r="D16" s="1567"/>
      <c r="E16" s="604">
        <v>0</v>
      </c>
      <c r="F16" s="604">
        <v>0</v>
      </c>
      <c r="G16" s="526">
        <f>'HSZ do złotówek'!I$59</f>
        <v>0</v>
      </c>
      <c r="H16" s="526">
        <f>'HSZ do złotówek'!J$59</f>
        <v>0</v>
      </c>
      <c r="I16" s="526">
        <f>'HSZ do złotówek'!K$59</f>
        <v>0</v>
      </c>
      <c r="J16" s="526">
        <f>'HSZ do złotówek'!L$59</f>
        <v>500000</v>
      </c>
      <c r="K16" s="526">
        <f>'HSZ do złotówek'!M$59</f>
        <v>0</v>
      </c>
      <c r="L16" s="526">
        <f>'HSZ do złotówek'!N$59</f>
        <v>1137819</v>
      </c>
      <c r="M16" s="526">
        <f>'HSZ do złotówek'!O$59</f>
        <v>0</v>
      </c>
      <c r="N16" s="526">
        <f>'HSZ do złotówek'!P$59</f>
        <v>1180169</v>
      </c>
      <c r="O16" s="526">
        <f>'HSZ do złotówek'!Q$59</f>
        <v>0</v>
      </c>
      <c r="P16" s="526">
        <f>'HSZ do złotówek'!R$59</f>
        <v>1180169</v>
      </c>
      <c r="Q16" s="526">
        <f>'HSZ do złotówek'!S$59</f>
        <v>0</v>
      </c>
      <c r="R16" s="526">
        <f>'HSZ do złotówek'!T$59</f>
        <v>1180169</v>
      </c>
      <c r="S16" s="526">
        <f>'HSZ do złotówek'!U$59</f>
        <v>0</v>
      </c>
      <c r="T16" s="526">
        <f>'HSZ do złotówek'!V$59</f>
        <v>1180169</v>
      </c>
      <c r="U16" s="526">
        <f>'HSZ do złotówek'!W$59</f>
        <v>2300000</v>
      </c>
      <c r="V16" s="526">
        <f>'HSZ do złotówek'!X$59</f>
        <v>1171094</v>
      </c>
      <c r="W16" s="526">
        <f>'HSZ do złotówek'!Y$59</f>
        <v>4000000</v>
      </c>
      <c r="X16" s="526">
        <f>'HSZ do złotówek'!Z$59</f>
        <v>1055492</v>
      </c>
      <c r="Y16" s="526">
        <f>'HSZ do złotówek'!AA$59</f>
        <v>6000000</v>
      </c>
      <c r="Z16" s="526">
        <f>'HSZ do złotówek'!AB$59</f>
        <v>858220</v>
      </c>
      <c r="AA16" s="526">
        <f>'HSZ do złotówek'!AC$59</f>
        <v>5000000</v>
      </c>
      <c r="AB16" s="526">
        <f>'HSZ do złotówek'!AD$59</f>
        <v>566682</v>
      </c>
      <c r="AC16" s="526">
        <f>'HSZ do złotówek'!AE$59</f>
        <v>3000000</v>
      </c>
      <c r="AD16" s="526">
        <f>'HSZ do złotówek'!AF$59</f>
        <v>205501</v>
      </c>
    </row>
    <row r="17" spans="1:30" ht="13.5" thickBot="1">
      <c r="A17" s="517"/>
      <c r="B17" s="531"/>
      <c r="C17" s="1581" t="s">
        <v>120</v>
      </c>
      <c r="D17" s="1582"/>
      <c r="E17" s="532">
        <f t="shared" ref="E17:AD17" si="3">E12</f>
        <v>0</v>
      </c>
      <c r="F17" s="532">
        <f t="shared" si="3"/>
        <v>0</v>
      </c>
      <c r="G17" s="532">
        <f t="shared" si="3"/>
        <v>0</v>
      </c>
      <c r="H17" s="532">
        <f t="shared" si="3"/>
        <v>0</v>
      </c>
      <c r="I17" s="532">
        <f t="shared" si="3"/>
        <v>0</v>
      </c>
      <c r="J17" s="532">
        <f t="shared" si="3"/>
        <v>500000</v>
      </c>
      <c r="K17" s="532">
        <f t="shared" si="3"/>
        <v>0</v>
      </c>
      <c r="L17" s="532">
        <f t="shared" si="3"/>
        <v>1137819</v>
      </c>
      <c r="M17" s="532">
        <f t="shared" si="3"/>
        <v>0</v>
      </c>
      <c r="N17" s="532">
        <f t="shared" si="3"/>
        <v>1180169</v>
      </c>
      <c r="O17" s="532">
        <f t="shared" si="3"/>
        <v>0</v>
      </c>
      <c r="P17" s="532">
        <f t="shared" si="3"/>
        <v>1180169</v>
      </c>
      <c r="Q17" s="532">
        <f t="shared" si="3"/>
        <v>0</v>
      </c>
      <c r="R17" s="532">
        <f t="shared" si="3"/>
        <v>1180169</v>
      </c>
      <c r="S17" s="532">
        <f t="shared" si="3"/>
        <v>0</v>
      </c>
      <c r="T17" s="532">
        <f t="shared" si="3"/>
        <v>1180169</v>
      </c>
      <c r="U17" s="532">
        <f t="shared" si="3"/>
        <v>2300000</v>
      </c>
      <c r="V17" s="532">
        <f t="shared" si="3"/>
        <v>1171094</v>
      </c>
      <c r="W17" s="532">
        <f t="shared" si="3"/>
        <v>4000000</v>
      </c>
      <c r="X17" s="532">
        <f t="shared" si="3"/>
        <v>1055492</v>
      </c>
      <c r="Y17" s="532">
        <f t="shared" si="3"/>
        <v>6000000</v>
      </c>
      <c r="Z17" s="532">
        <f t="shared" si="3"/>
        <v>858220</v>
      </c>
      <c r="AA17" s="532">
        <f t="shared" si="3"/>
        <v>5000000</v>
      </c>
      <c r="AB17" s="532">
        <f t="shared" si="3"/>
        <v>566682</v>
      </c>
      <c r="AC17" s="532">
        <f t="shared" si="3"/>
        <v>3000000</v>
      </c>
      <c r="AD17" s="532">
        <f t="shared" si="3"/>
        <v>205501</v>
      </c>
    </row>
    <row r="18" spans="1:30" ht="39" customHeight="1">
      <c r="A18" s="517"/>
      <c r="B18" s="529" t="s">
        <v>34</v>
      </c>
      <c r="C18" s="1570" t="s">
        <v>317</v>
      </c>
      <c r="D18" s="1571"/>
      <c r="E18" s="530">
        <f t="shared" ref="E18:AD18" si="4">SUM(E20:E22)</f>
        <v>0</v>
      </c>
      <c r="F18" s="530">
        <f t="shared" si="4"/>
        <v>0</v>
      </c>
      <c r="G18" s="530">
        <f t="shared" si="4"/>
        <v>0</v>
      </c>
      <c r="H18" s="530">
        <f t="shared" si="4"/>
        <v>521588</v>
      </c>
      <c r="I18" s="530">
        <f t="shared" si="4"/>
        <v>0</v>
      </c>
      <c r="J18" s="530">
        <f t="shared" si="4"/>
        <v>450000</v>
      </c>
      <c r="K18" s="530">
        <f t="shared" si="4"/>
        <v>0</v>
      </c>
      <c r="L18" s="530">
        <f t="shared" si="4"/>
        <v>500000</v>
      </c>
      <c r="M18" s="530">
        <f t="shared" si="4"/>
        <v>0</v>
      </c>
      <c r="N18" s="530">
        <f t="shared" si="4"/>
        <v>521588</v>
      </c>
      <c r="O18" s="530">
        <f t="shared" si="4"/>
        <v>0</v>
      </c>
      <c r="P18" s="530">
        <f t="shared" si="4"/>
        <v>521588</v>
      </c>
      <c r="Q18" s="530">
        <f t="shared" si="4"/>
        <v>2000000</v>
      </c>
      <c r="R18" s="530">
        <f t="shared" si="4"/>
        <v>521588</v>
      </c>
      <c r="S18" s="530">
        <f t="shared" si="4"/>
        <v>3000000</v>
      </c>
      <c r="T18" s="530">
        <f t="shared" si="4"/>
        <v>427788</v>
      </c>
      <c r="U18" s="530">
        <f t="shared" si="4"/>
        <v>4000000</v>
      </c>
      <c r="V18" s="530">
        <f t="shared" si="4"/>
        <v>233633</v>
      </c>
      <c r="W18" s="530">
        <f t="shared" si="4"/>
        <v>0</v>
      </c>
      <c r="X18" s="530">
        <f t="shared" si="4"/>
        <v>0</v>
      </c>
      <c r="Y18" s="530">
        <f t="shared" si="4"/>
        <v>0</v>
      </c>
      <c r="Z18" s="530">
        <f t="shared" si="4"/>
        <v>0</v>
      </c>
      <c r="AA18" s="530">
        <f t="shared" si="4"/>
        <v>0</v>
      </c>
      <c r="AB18" s="530">
        <f t="shared" si="4"/>
        <v>0</v>
      </c>
      <c r="AC18" s="530">
        <f t="shared" si="4"/>
        <v>0</v>
      </c>
      <c r="AD18" s="530">
        <f t="shared" si="4"/>
        <v>0</v>
      </c>
    </row>
    <row r="19" spans="1:30">
      <c r="A19" s="517"/>
      <c r="B19" s="521"/>
      <c r="C19" s="522" t="s">
        <v>316</v>
      </c>
      <c r="D19" s="522"/>
      <c r="E19" s="523"/>
      <c r="F19" s="523"/>
      <c r="G19" s="523"/>
      <c r="H19" s="523"/>
      <c r="I19" s="523"/>
      <c r="J19" s="524"/>
      <c r="K19" s="523"/>
      <c r="L19" s="523"/>
      <c r="M19" s="523"/>
      <c r="N19" s="523"/>
      <c r="O19" s="523"/>
      <c r="P19" s="523"/>
      <c r="Q19" s="523"/>
      <c r="R19" s="523"/>
      <c r="S19" s="523"/>
      <c r="T19" s="524"/>
      <c r="U19" s="523"/>
      <c r="V19" s="523"/>
      <c r="W19" s="523"/>
      <c r="X19" s="523"/>
      <c r="Y19" s="523"/>
      <c r="Z19" s="523"/>
      <c r="AA19" s="523"/>
      <c r="AB19" s="523"/>
      <c r="AC19" s="523"/>
      <c r="AD19" s="524"/>
    </row>
    <row r="20" spans="1:30">
      <c r="A20" s="517"/>
      <c r="B20" s="519">
        <v>1</v>
      </c>
      <c r="C20" s="1564" t="s">
        <v>312</v>
      </c>
      <c r="D20" s="1565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</row>
    <row r="21" spans="1:30">
      <c r="A21" s="517"/>
      <c r="B21" s="519">
        <v>2</v>
      </c>
      <c r="C21" s="1564" t="s">
        <v>313</v>
      </c>
      <c r="D21" s="1565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</row>
    <row r="22" spans="1:30" ht="25.5" customHeight="1" thickBot="1">
      <c r="A22" s="517"/>
      <c r="B22" s="525">
        <v>3</v>
      </c>
      <c r="C22" s="1566" t="s">
        <v>314</v>
      </c>
      <c r="D22" s="1567"/>
      <c r="E22" s="526">
        <f>'HSZ do złotówek'!G44</f>
        <v>0</v>
      </c>
      <c r="F22" s="526">
        <f>'HSZ do złotówek'!H44</f>
        <v>0</v>
      </c>
      <c r="G22" s="526">
        <f>'HSZ do złotówek'!I44</f>
        <v>0</v>
      </c>
      <c r="H22" s="526">
        <f>'HSZ do złotówek'!J44</f>
        <v>521588</v>
      </c>
      <c r="I22" s="526">
        <f>'HSZ do złotówek'!K44</f>
        <v>0</v>
      </c>
      <c r="J22" s="526">
        <f>'HSZ do złotówek'!L44</f>
        <v>450000</v>
      </c>
      <c r="K22" s="526">
        <f>'HSZ do złotówek'!M44</f>
        <v>0</v>
      </c>
      <c r="L22" s="526">
        <f>'HSZ do złotówek'!N44</f>
        <v>500000</v>
      </c>
      <c r="M22" s="526">
        <f>'HSZ do złotówek'!O44</f>
        <v>0</v>
      </c>
      <c r="N22" s="526">
        <f>'HSZ do złotówek'!P44</f>
        <v>521588</v>
      </c>
      <c r="O22" s="526">
        <f>'HSZ do złotówek'!Q44</f>
        <v>0</v>
      </c>
      <c r="P22" s="526">
        <f>'HSZ do złotówek'!R44</f>
        <v>521588</v>
      </c>
      <c r="Q22" s="526">
        <f>'HSZ do złotówek'!S44</f>
        <v>2000000</v>
      </c>
      <c r="R22" s="526">
        <f>'HSZ do złotówek'!T44</f>
        <v>521588</v>
      </c>
      <c r="S22" s="526">
        <f>'HSZ do złotówek'!U44</f>
        <v>3000000</v>
      </c>
      <c r="T22" s="526">
        <f>'HSZ do złotówek'!V44</f>
        <v>427788</v>
      </c>
      <c r="U22" s="526">
        <f>'HSZ do złotówek'!W44</f>
        <v>4000000</v>
      </c>
      <c r="V22" s="526">
        <f>'HSZ do złotówek'!X44</f>
        <v>233633</v>
      </c>
      <c r="W22" s="526">
        <f>'HSZ do złotówek'!Y44</f>
        <v>0</v>
      </c>
      <c r="X22" s="526">
        <f>'HSZ do złotówek'!Z44</f>
        <v>0</v>
      </c>
      <c r="Y22" s="526">
        <f>'HSZ do złotówek'!AA44</f>
        <v>0</v>
      </c>
      <c r="Z22" s="526">
        <f>'HSZ do złotówek'!AB44</f>
        <v>0</v>
      </c>
      <c r="AA22" s="526">
        <f>'HSZ do złotówek'!AC44</f>
        <v>0</v>
      </c>
      <c r="AB22" s="526">
        <f>'HSZ do złotówek'!AD44</f>
        <v>0</v>
      </c>
      <c r="AC22" s="526">
        <f>'HSZ do złotówek'!AE44</f>
        <v>0</v>
      </c>
      <c r="AD22" s="526">
        <f>'HSZ do złotówek'!AF44</f>
        <v>0</v>
      </c>
    </row>
    <row r="23" spans="1:30" ht="13.5" thickBot="1">
      <c r="A23" s="517"/>
      <c r="B23" s="533"/>
      <c r="C23" s="1574" t="s">
        <v>120</v>
      </c>
      <c r="D23" s="1575"/>
      <c r="E23" s="534">
        <f t="shared" ref="E23:AD23" si="5">E18</f>
        <v>0</v>
      </c>
      <c r="F23" s="534">
        <f t="shared" si="5"/>
        <v>0</v>
      </c>
      <c r="G23" s="534">
        <f t="shared" si="5"/>
        <v>0</v>
      </c>
      <c r="H23" s="534">
        <f t="shared" si="5"/>
        <v>521588</v>
      </c>
      <c r="I23" s="534">
        <f t="shared" si="5"/>
        <v>0</v>
      </c>
      <c r="J23" s="534">
        <f t="shared" si="5"/>
        <v>450000</v>
      </c>
      <c r="K23" s="534">
        <f t="shared" si="5"/>
        <v>0</v>
      </c>
      <c r="L23" s="534">
        <f t="shared" si="5"/>
        <v>500000</v>
      </c>
      <c r="M23" s="534">
        <f t="shared" si="5"/>
        <v>0</v>
      </c>
      <c r="N23" s="534">
        <f t="shared" si="5"/>
        <v>521588</v>
      </c>
      <c r="O23" s="534">
        <f t="shared" si="5"/>
        <v>0</v>
      </c>
      <c r="P23" s="534">
        <f t="shared" si="5"/>
        <v>521588</v>
      </c>
      <c r="Q23" s="534">
        <f t="shared" si="5"/>
        <v>2000000</v>
      </c>
      <c r="R23" s="534">
        <f t="shared" si="5"/>
        <v>521588</v>
      </c>
      <c r="S23" s="534">
        <f t="shared" si="5"/>
        <v>3000000</v>
      </c>
      <c r="T23" s="534">
        <f t="shared" si="5"/>
        <v>427788</v>
      </c>
      <c r="U23" s="534">
        <f t="shared" si="5"/>
        <v>4000000</v>
      </c>
      <c r="V23" s="534">
        <f t="shared" si="5"/>
        <v>233633</v>
      </c>
      <c r="W23" s="534">
        <f t="shared" si="5"/>
        <v>0</v>
      </c>
      <c r="X23" s="534">
        <f t="shared" si="5"/>
        <v>0</v>
      </c>
      <c r="Y23" s="534">
        <f t="shared" si="5"/>
        <v>0</v>
      </c>
      <c r="Z23" s="534">
        <f t="shared" si="5"/>
        <v>0</v>
      </c>
      <c r="AA23" s="534">
        <f t="shared" si="5"/>
        <v>0</v>
      </c>
      <c r="AB23" s="534">
        <f t="shared" si="5"/>
        <v>0</v>
      </c>
      <c r="AC23" s="534">
        <f t="shared" si="5"/>
        <v>0</v>
      </c>
      <c r="AD23" s="534">
        <f t="shared" si="5"/>
        <v>0</v>
      </c>
    </row>
    <row r="24" spans="1:30" ht="14.25" thickTop="1" thickBot="1">
      <c r="A24" s="517"/>
      <c r="B24" s="535"/>
      <c r="C24" s="1576" t="s">
        <v>318</v>
      </c>
      <c r="D24" s="1577"/>
      <c r="E24" s="536">
        <f>IF(SUM(E23+E17+E11)='HSZ do złotówek'!G$63,SUM(E23+E17+E11),"błąd")</f>
        <v>6998867</v>
      </c>
      <c r="F24" s="536">
        <f>IF(SUM(F23+F17+F11)='HSZ do złotówek'!H$63,SUM(F23+F17+F11),"błąd")</f>
        <v>2173467</v>
      </c>
      <c r="G24" s="536">
        <f>IF(SUM(G23+G17+G11)='HSZ do złotówek'!I$63,SUM(G23+G17+G11),"błąd")</f>
        <v>10160865</v>
      </c>
      <c r="H24" s="536" t="str">
        <f>IF(SUM(H23+H17+H11)='HSZ do złotówek'!J$63,SUM(H23+H17+H11),"błąd")</f>
        <v>błąd</v>
      </c>
      <c r="I24" s="536">
        <f>IF(SUM(I23+I17+I11)='HSZ do złotówek'!K$63,SUM(I23+I17+I11),"błąd")</f>
        <v>4101396</v>
      </c>
      <c r="J24" s="536" t="str">
        <f>IF(SUM(J23+J17+J11)='HSZ do złotówek'!L$63,SUM(J23+J17+J11),"błąd")</f>
        <v>błąd</v>
      </c>
      <c r="K24" s="536" t="str">
        <f>IF(SUM(K23+K17+K11)='HSZ do złotówek'!M$63,SUM(K23+K17+K11),"błąd")</f>
        <v>błąd</v>
      </c>
      <c r="L24" s="536" t="str">
        <f>IF(SUM(L23+L17+L11)='HSZ do złotówek'!N$63,SUM(L23+L17+L11),"błąd")</f>
        <v>błąd</v>
      </c>
      <c r="M24" s="536" t="str">
        <f>IF(SUM(M23+M17+M11)='HSZ do złotówek'!O$63,SUM(M23+M17+M11),"błąd")</f>
        <v>błąd</v>
      </c>
      <c r="N24" s="536" t="str">
        <f>IF(SUM(N23+N17+N11)='HSZ do złotówek'!P$63,SUM(N23+N17+N11),"błąd")</f>
        <v>błąd</v>
      </c>
      <c r="O24" s="536" t="str">
        <f>IF(SUM(O23+O17+O11)='HSZ do złotówek'!Q$63,SUM(O23+O17+O11),"błąd")</f>
        <v>błąd</v>
      </c>
      <c r="P24" s="536" t="str">
        <f>IF(SUM(P23+P17+P11)='HSZ do złotówek'!R$63,SUM(P23+P17+P11),"błąd")</f>
        <v>błąd</v>
      </c>
      <c r="Q24" s="536" t="str">
        <f>IF(SUM(Q23+Q17+Q11)='HSZ do złotówek'!S$63,SUM(Q23+Q17+Q11),"błąd")</f>
        <v>błąd</v>
      </c>
      <c r="R24" s="536" t="str">
        <f>IF(SUM(R23+R17+R11)='HSZ do złotówek'!T$63,SUM(R23+R17+R11),"błąd")</f>
        <v>błąd</v>
      </c>
      <c r="S24" s="536" t="str">
        <f>IF(SUM(S23+S17+S11)='HSZ do złotówek'!U$63,SUM(S23+S17+S11),"błąd")</f>
        <v>błąd</v>
      </c>
      <c r="T24" s="536" t="str">
        <f>IF(SUM(T23+T17+T11)='HSZ do złotówek'!V$63,SUM(T23+T17+T11),"błąd")</f>
        <v>błąd</v>
      </c>
      <c r="U24" s="536" t="str">
        <f>IF(SUM(U23+U17+U11)='HSZ do złotówek'!W$63,SUM(U23+U17+U11),"błąd")</f>
        <v>błąd</v>
      </c>
      <c r="V24" s="536" t="str">
        <f>IF(SUM(V23+V17+V11)='HSZ do złotówek'!X$63,SUM(V23+V17+V11),"błąd")</f>
        <v>błąd</v>
      </c>
      <c r="W24" s="536" t="str">
        <f>IF(SUM(W23+W17+W11)='HSZ do złotówek'!Y$63,SUM(W23+W17+W11),"błąd")</f>
        <v>błąd</v>
      </c>
      <c r="X24" s="536" t="str">
        <f>IF(SUM(X23+X17+X11)='HSZ do złotówek'!Z$63,SUM(X23+X17+X11),"błąd")</f>
        <v>błąd</v>
      </c>
      <c r="Y24" s="536" t="str">
        <f>IF(SUM(Y23+Y17+Y11)='HSZ do złotówek'!AA$63,SUM(Y23+Y17+Y11),"błąd")</f>
        <v>błąd</v>
      </c>
      <c r="Z24" s="536" t="str">
        <f>IF(SUM(Z23+Z17+Z11)='HSZ do złotówek'!AB$63,SUM(Z23+Z17+Z11),"błąd")</f>
        <v>błąd</v>
      </c>
      <c r="AA24" s="536" t="str">
        <f>IF(SUM(AA23+AA17+AA11)='HSZ do złotówek'!AC$63,SUM(AA23+AA17+AA11),"błąd")</f>
        <v>błąd</v>
      </c>
      <c r="AB24" s="536" t="str">
        <f>IF(SUM(AB23+AB17+AB11)='HSZ do złotówek'!AD$63,SUM(AB23+AB17+AB11),"błąd")</f>
        <v>błąd</v>
      </c>
      <c r="AC24" s="536" t="str">
        <f>IF(SUM(AC23+AC17+AC11)='HSZ do złotówek'!AE$63,SUM(AC23+AC17+AC11),"błąd")</f>
        <v>błąd</v>
      </c>
      <c r="AD24" s="536" t="str">
        <f>IF(SUM(AD23+AD17+AD11)='HSZ do złotówek'!AF$63,SUM(AD23+AD17+AD11),"błąd")</f>
        <v>błąd</v>
      </c>
    </row>
    <row r="25" spans="1:30" s="541" customFormat="1" ht="13.5" thickTop="1">
      <c r="A25" s="537"/>
      <c r="B25" s="538"/>
      <c r="C25" s="539"/>
      <c r="D25" s="539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</row>
    <row r="26" spans="1:30" s="545" customFormat="1" ht="25.5" customHeight="1">
      <c r="A26" s="542"/>
      <c r="B26" s="543"/>
      <c r="C26" s="1578" t="s">
        <v>319</v>
      </c>
      <c r="D26" s="1578"/>
      <c r="E26" s="544">
        <f>E8+E9+E14+E15+E20+E21</f>
        <v>698867</v>
      </c>
      <c r="F26" s="544">
        <f t="shared" ref="F26:AD26" si="6">F8+F9+F14+F15+F20+F21</f>
        <v>76571</v>
      </c>
      <c r="G26" s="544">
        <f t="shared" si="6"/>
        <v>660865</v>
      </c>
      <c r="H26" s="544">
        <f t="shared" si="6"/>
        <v>294826</v>
      </c>
      <c r="I26" s="544">
        <f t="shared" si="6"/>
        <v>601396</v>
      </c>
      <c r="J26" s="544">
        <f t="shared" si="6"/>
        <v>307817</v>
      </c>
      <c r="K26" s="544">
        <f t="shared" si="6"/>
        <v>1013994</v>
      </c>
      <c r="L26" s="544">
        <f t="shared" si="6"/>
        <v>437794</v>
      </c>
      <c r="M26" s="544">
        <f t="shared" si="6"/>
        <v>1544277</v>
      </c>
      <c r="N26" s="544">
        <f t="shared" si="6"/>
        <v>412567</v>
      </c>
      <c r="O26" s="544">
        <f t="shared" si="6"/>
        <v>1514964</v>
      </c>
      <c r="P26" s="544">
        <f t="shared" si="6"/>
        <v>367846</v>
      </c>
      <c r="Q26" s="544">
        <f t="shared" si="6"/>
        <v>1463969</v>
      </c>
      <c r="R26" s="544">
        <f t="shared" si="6"/>
        <v>324777</v>
      </c>
      <c r="S26" s="544">
        <f t="shared" si="6"/>
        <v>1367151</v>
      </c>
      <c r="T26" s="544">
        <f t="shared" si="6"/>
        <v>283397</v>
      </c>
      <c r="U26" s="544">
        <f t="shared" si="6"/>
        <v>1346808</v>
      </c>
      <c r="V26" s="544">
        <f t="shared" si="6"/>
        <v>244700</v>
      </c>
      <c r="W26" s="544">
        <f t="shared" si="6"/>
        <v>1346808</v>
      </c>
      <c r="X26" s="544">
        <f t="shared" si="6"/>
        <v>205354</v>
      </c>
      <c r="Y26" s="544">
        <f t="shared" si="6"/>
        <v>1346808</v>
      </c>
      <c r="Z26" s="544">
        <f t="shared" si="6"/>
        <v>166407</v>
      </c>
      <c r="AA26" s="544">
        <f t="shared" si="6"/>
        <v>1346808</v>
      </c>
      <c r="AB26" s="544">
        <f t="shared" si="6"/>
        <v>127761</v>
      </c>
      <c r="AC26" s="544">
        <f t="shared" si="6"/>
        <v>1346808</v>
      </c>
      <c r="AD26" s="544">
        <f t="shared" si="6"/>
        <v>88614</v>
      </c>
    </row>
    <row r="27" spans="1:30" s="541" customFormat="1" ht="6.75" customHeight="1">
      <c r="A27" s="537"/>
      <c r="B27" s="538"/>
      <c r="C27" s="539"/>
      <c r="D27" s="539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</row>
    <row r="28" spans="1:30" s="545" customFormat="1" ht="25.5" customHeight="1">
      <c r="A28" s="542"/>
      <c r="B28" s="546"/>
      <c r="C28" s="547" t="s">
        <v>320</v>
      </c>
      <c r="D28" s="547"/>
      <c r="E28" s="548">
        <f>E10+E16+E22</f>
        <v>6300000</v>
      </c>
      <c r="F28" s="548">
        <f t="shared" ref="F28:AD28" si="7">F10+F16+F22</f>
        <v>2096896</v>
      </c>
      <c r="G28" s="548">
        <f t="shared" si="7"/>
        <v>9500000</v>
      </c>
      <c r="H28" s="548">
        <f t="shared" si="7"/>
        <v>2643819</v>
      </c>
      <c r="I28" s="548">
        <f t="shared" si="7"/>
        <v>3500000</v>
      </c>
      <c r="J28" s="548">
        <f t="shared" si="7"/>
        <v>2250000</v>
      </c>
      <c r="K28" s="548">
        <f t="shared" si="7"/>
        <v>3900000</v>
      </c>
      <c r="L28" s="548">
        <f t="shared" si="7"/>
        <v>2837819</v>
      </c>
      <c r="M28" s="548">
        <f t="shared" si="7"/>
        <v>6000000</v>
      </c>
      <c r="N28" s="548">
        <f t="shared" si="7"/>
        <v>2725030</v>
      </c>
      <c r="O28" s="548">
        <f t="shared" si="7"/>
        <v>6000000</v>
      </c>
      <c r="P28" s="548">
        <f t="shared" si="7"/>
        <v>2467081</v>
      </c>
      <c r="Q28" s="548">
        <f t="shared" si="7"/>
        <v>6000000</v>
      </c>
      <c r="R28" s="548">
        <f t="shared" si="7"/>
        <v>2111067</v>
      </c>
      <c r="S28" s="548">
        <f t="shared" si="7"/>
        <v>7000000</v>
      </c>
      <c r="T28" s="548">
        <f t="shared" si="7"/>
        <v>1787957</v>
      </c>
      <c r="U28" s="548">
        <f t="shared" si="7"/>
        <v>6300000</v>
      </c>
      <c r="V28" s="548">
        <f t="shared" si="7"/>
        <v>1404727</v>
      </c>
      <c r="W28" s="548">
        <f t="shared" si="7"/>
        <v>4000000</v>
      </c>
      <c r="X28" s="548">
        <f t="shared" si="7"/>
        <v>1055492</v>
      </c>
      <c r="Y28" s="548">
        <f t="shared" si="7"/>
        <v>6000000</v>
      </c>
      <c r="Z28" s="548">
        <f t="shared" si="7"/>
        <v>858220</v>
      </c>
      <c r="AA28" s="548">
        <f t="shared" si="7"/>
        <v>5000000</v>
      </c>
      <c r="AB28" s="548">
        <f t="shared" si="7"/>
        <v>566682</v>
      </c>
      <c r="AC28" s="548">
        <f t="shared" si="7"/>
        <v>3000000</v>
      </c>
      <c r="AD28" s="548">
        <f t="shared" si="7"/>
        <v>205501</v>
      </c>
    </row>
    <row r="32" spans="1:30">
      <c r="C32" s="549"/>
      <c r="D32" s="549"/>
      <c r="I32" s="1579">
        <f ca="1">TODAY()</f>
        <v>41995</v>
      </c>
      <c r="J32" s="1580"/>
      <c r="O32" s="550"/>
      <c r="P32" s="550"/>
      <c r="Y32" s="550"/>
      <c r="Z32" s="550"/>
    </row>
    <row r="33" spans="3:26">
      <c r="C33" s="1572" t="s">
        <v>321</v>
      </c>
      <c r="D33" s="1572"/>
      <c r="I33" s="1572" t="s">
        <v>322</v>
      </c>
      <c r="J33" s="1572"/>
      <c r="O33" s="1572" t="s">
        <v>323</v>
      </c>
      <c r="P33" s="1572"/>
      <c r="Y33" s="1572"/>
      <c r="Z33" s="1572"/>
    </row>
  </sheetData>
  <sheetProtection sheet="1" objects="1" scenarios="1" selectLockedCells="1" selectUnlockedCells="1"/>
  <mergeCells count="38"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  <mergeCell ref="C10:D10"/>
    <mergeCell ref="C11:D11"/>
    <mergeCell ref="C12:D12"/>
    <mergeCell ref="C14:D14"/>
    <mergeCell ref="C15:D15"/>
    <mergeCell ref="W4:X4"/>
    <mergeCell ref="Y4:Z4"/>
    <mergeCell ref="AA4:AB4"/>
    <mergeCell ref="AC4:AD4"/>
    <mergeCell ref="C6:D6"/>
    <mergeCell ref="S4:T4"/>
    <mergeCell ref="U4:V4"/>
    <mergeCell ref="C8:D8"/>
    <mergeCell ref="K4:L4"/>
    <mergeCell ref="M4:N4"/>
    <mergeCell ref="O4:P4"/>
    <mergeCell ref="Q4:R4"/>
    <mergeCell ref="B4:B5"/>
    <mergeCell ref="C4:D5"/>
    <mergeCell ref="E4:F4"/>
    <mergeCell ref="G4:H4"/>
    <mergeCell ref="I4:J4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8" workbookViewId="0">
      <selection activeCell="I21" sqref="I21"/>
    </sheetView>
  </sheetViews>
  <sheetFormatPr defaultRowHeight="12.75"/>
  <cols>
    <col min="2" max="2" width="5.28515625" customWidth="1"/>
    <col min="3" max="3" width="20.85546875" customWidth="1"/>
    <col min="4" max="4" width="20.140625" customWidth="1"/>
    <col min="5" max="5" width="21.42578125" customWidth="1"/>
    <col min="7" max="7" width="21.5703125" customWidth="1"/>
    <col min="8" max="8" width="21.7109375" customWidth="1"/>
    <col min="9" max="9" width="22.28515625" customWidth="1"/>
    <col min="11" max="11" width="21.42578125" customWidth="1"/>
    <col min="12" max="12" width="0.28515625" customWidth="1"/>
    <col min="13" max="14" width="9.140625" hidden="1" customWidth="1"/>
  </cols>
  <sheetData>
    <row r="1" spans="1:14" hidden="1"/>
    <row r="2" spans="1:14" ht="23.25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</row>
    <row r="3" spans="1:14" ht="37.5" customHeight="1">
      <c r="A3" s="1153"/>
      <c r="B3" s="1153"/>
      <c r="C3" s="1153"/>
      <c r="D3" s="1153"/>
      <c r="E3" s="1153"/>
      <c r="F3" s="1153"/>
      <c r="G3" s="1153"/>
      <c r="H3" s="1152"/>
      <c r="I3" s="1152"/>
      <c r="J3" s="1152"/>
      <c r="K3" s="1152"/>
      <c r="L3" s="1152"/>
      <c r="M3" s="1152"/>
      <c r="N3" s="1152"/>
    </row>
    <row r="4" spans="1:14" ht="15">
      <c r="A4" s="670" t="s">
        <v>459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</row>
    <row r="5" spans="1:14" ht="33.75" customHeight="1">
      <c r="A5" s="670" t="s">
        <v>460</v>
      </c>
      <c r="B5" s="1588" t="s">
        <v>461</v>
      </c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8"/>
      <c r="N5" s="1588"/>
    </row>
    <row r="6" spans="1:14" ht="31.5" customHeight="1">
      <c r="A6" s="670" t="s">
        <v>462</v>
      </c>
      <c r="B6" s="1589" t="s">
        <v>463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</row>
    <row r="7" spans="1:14" ht="15">
      <c r="A7" s="670" t="s">
        <v>464</v>
      </c>
      <c r="B7" s="670" t="s">
        <v>465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</row>
    <row r="8" spans="1:14" ht="15">
      <c r="A8" s="670" t="s">
        <v>466</v>
      </c>
      <c r="B8" s="670" t="s">
        <v>467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</row>
    <row r="9" spans="1:14" ht="15">
      <c r="A9" s="670" t="s">
        <v>468</v>
      </c>
      <c r="B9" s="670" t="s">
        <v>469</v>
      </c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</row>
    <row r="10" spans="1:14" ht="15">
      <c r="A10" s="670" t="s">
        <v>470</v>
      </c>
      <c r="B10" s="670" t="s">
        <v>471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</row>
    <row r="11" spans="1:14" ht="15">
      <c r="A11" s="670" t="s">
        <v>472</v>
      </c>
      <c r="B11" s="670" t="s">
        <v>473</v>
      </c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1154"/>
      <c r="N11" s="1154"/>
    </row>
    <row r="12" spans="1:14" ht="15">
      <c r="A12" s="670" t="s">
        <v>474</v>
      </c>
      <c r="B12" s="670" t="s">
        <v>475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1154"/>
      <c r="N12" s="1155"/>
    </row>
    <row r="13" spans="1:14" ht="15">
      <c r="A13" s="670" t="s">
        <v>476</v>
      </c>
      <c r="B13" s="670" t="s">
        <v>477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1154"/>
      <c r="N13" s="1155"/>
    </row>
    <row r="14" spans="1:14" ht="15">
      <c r="A14" s="670" t="s">
        <v>478</v>
      </c>
      <c r="B14" s="670" t="s">
        <v>479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1154"/>
      <c r="N14" s="1155"/>
    </row>
    <row r="15" spans="1:14" ht="24" thickBot="1">
      <c r="A15" s="1152"/>
      <c r="B15" s="1152"/>
      <c r="C15" s="1152"/>
      <c r="D15" s="1152"/>
      <c r="E15" s="1152"/>
      <c r="F15" s="1152"/>
      <c r="G15" s="1152"/>
      <c r="H15" s="1152"/>
      <c r="I15" s="1152"/>
      <c r="J15" s="1152"/>
      <c r="K15" s="1152"/>
      <c r="L15" s="1152"/>
      <c r="M15" s="1156"/>
      <c r="N15" s="1157"/>
    </row>
    <row r="16" spans="1:14" ht="39" thickBot="1">
      <c r="A16" s="1158"/>
      <c r="B16" s="1159"/>
      <c r="C16" s="1160" t="s">
        <v>480</v>
      </c>
      <c r="D16" s="1182" t="s">
        <v>487</v>
      </c>
      <c r="E16" s="1161" t="s">
        <v>481</v>
      </c>
      <c r="F16" s="670"/>
      <c r="G16" s="1162" t="s">
        <v>482</v>
      </c>
      <c r="H16" s="1163" t="s">
        <v>483</v>
      </c>
      <c r="I16" s="1164" t="s">
        <v>484</v>
      </c>
      <c r="J16" s="1152"/>
      <c r="K16" s="1179" t="s">
        <v>486</v>
      </c>
      <c r="L16" s="1152"/>
      <c r="M16" s="1152"/>
      <c r="N16" s="1152"/>
    </row>
    <row r="17" spans="1:14" ht="23.25">
      <c r="A17" s="1165">
        <v>2011</v>
      </c>
      <c r="B17" s="1166"/>
      <c r="C17" s="1167">
        <f>'WPF styczeń 2013'!F59</f>
        <v>6456092.5</v>
      </c>
      <c r="D17" s="1167">
        <f>'WPF styczeń 2013'!F19</f>
        <v>2146148.5499999998</v>
      </c>
      <c r="E17" s="1168">
        <f>'WPF styczeń 2013'!F7</f>
        <v>150620109.74000001</v>
      </c>
      <c r="F17" s="1169"/>
      <c r="G17" s="1170">
        <f>'WPF styczeń 2013'!F11</f>
        <v>141122144.84</v>
      </c>
      <c r="H17" s="1167">
        <f>'WPF styczeń 2013'!F12</f>
        <v>137382072.84999999</v>
      </c>
      <c r="I17" s="1171">
        <f>'WPF styczeń 2013'!F26</f>
        <v>3915577.63</v>
      </c>
      <c r="J17" s="1152"/>
      <c r="K17" s="1209">
        <v>0</v>
      </c>
      <c r="L17" s="1152"/>
      <c r="M17" s="1152"/>
      <c r="N17" s="1152"/>
    </row>
    <row r="18" spans="1:14" ht="23.25">
      <c r="A18" s="1165">
        <v>2012</v>
      </c>
      <c r="B18" s="1166"/>
      <c r="C18" s="1167">
        <f>'WPF styczeń 2013'!G59</f>
        <v>6998867</v>
      </c>
      <c r="D18" s="1167">
        <f>'WPF styczeń 2013'!G19</f>
        <v>2769378.99</v>
      </c>
      <c r="E18" s="1168">
        <f>'WPF styczeń 2013'!G7</f>
        <v>162361778</v>
      </c>
      <c r="F18" s="1169"/>
      <c r="G18" s="1172">
        <f>'WPF styczeń 2013'!G11</f>
        <v>144745343.03999999</v>
      </c>
      <c r="H18" s="1167">
        <f>'WPF styczeń 2013'!G12</f>
        <v>146209917.31999999</v>
      </c>
      <c r="I18" s="1171">
        <f>'WPF styczeń 2013'!G26</f>
        <v>7399706.7599999998</v>
      </c>
      <c r="J18" s="1152"/>
      <c r="K18" s="1210">
        <v>2769347.65</v>
      </c>
      <c r="L18" s="1152"/>
      <c r="M18" s="1152"/>
      <c r="N18" s="1152"/>
    </row>
    <row r="19" spans="1:14" ht="23.25">
      <c r="A19" s="1165">
        <v>2013</v>
      </c>
      <c r="B19" s="1166"/>
      <c r="C19" s="1167">
        <f>'WPF styczeń 2013'!H59</f>
        <v>10160865</v>
      </c>
      <c r="D19" s="1173">
        <f>'WPF styczeń 2013'!H19+'WPF styczeń 2013'!H17</f>
        <v>4611765.3699999992</v>
      </c>
      <c r="E19" s="1168">
        <f>'WPF styczeń 2013'!H7</f>
        <v>171964494.77000001</v>
      </c>
      <c r="F19" s="1169"/>
      <c r="G19" s="1170">
        <f>'WPF styczeń 2013'!H11</f>
        <v>151895608.09</v>
      </c>
      <c r="H19" s="1167">
        <f>'WPF styczeń 2013'!H12</f>
        <v>157150486.68000001</v>
      </c>
      <c r="I19" s="1174">
        <f>'WPF styczeń 2013'!H26</f>
        <v>13482148.18</v>
      </c>
      <c r="J19" s="1152"/>
      <c r="K19" s="1180">
        <f>'WPF styczeń 2013'!H20</f>
        <v>3856074</v>
      </c>
      <c r="L19" s="1152"/>
      <c r="M19" s="1152"/>
      <c r="N19" s="1152"/>
    </row>
    <row r="20" spans="1:14" ht="23.25">
      <c r="A20" s="1165">
        <v>2014</v>
      </c>
      <c r="B20" s="1166"/>
      <c r="C20" s="1167">
        <f>'WPF styczeń 2013'!I59</f>
        <v>0</v>
      </c>
      <c r="D20" s="1175">
        <f>'WPF styczeń 2013'!I17+'WPF styczeń 2013'!I19</f>
        <v>0</v>
      </c>
      <c r="E20" s="1168">
        <f>'WPF styczeń 2013'!I7</f>
        <v>0</v>
      </c>
      <c r="F20" s="1169"/>
      <c r="G20" s="1172">
        <f>'WPF styczeń 2013'!I11</f>
        <v>0</v>
      </c>
      <c r="H20" s="1167">
        <f>'WPF styczeń 2013'!I12</f>
        <v>0</v>
      </c>
      <c r="I20" s="1174">
        <v>11000000</v>
      </c>
      <c r="J20" s="1152"/>
      <c r="K20" s="1180">
        <f>'WPF styczeń 2013'!I20</f>
        <v>0</v>
      </c>
      <c r="L20" s="1152"/>
      <c r="M20" s="1152"/>
      <c r="N20" s="1152"/>
    </row>
    <row r="21" spans="1:14" ht="23.25">
      <c r="A21" s="1165">
        <v>2015</v>
      </c>
      <c r="B21" s="1166"/>
      <c r="C21" s="1167">
        <f>'WPF styczeń 2013'!J59</f>
        <v>0</v>
      </c>
      <c r="D21" s="1175">
        <f>'WPF styczeń 2013'!J17+'WPF styczeń 2013'!J19</f>
        <v>0</v>
      </c>
      <c r="E21" s="1168">
        <f>'WPF styczeń 2013'!J7</f>
        <v>0</v>
      </c>
      <c r="F21" s="1169"/>
      <c r="G21" s="1172">
        <f>'WPF styczeń 2013'!J11</f>
        <v>0</v>
      </c>
      <c r="H21" s="1167">
        <f>'WPF styczeń 2013'!J12</f>
        <v>0</v>
      </c>
      <c r="I21" s="1174">
        <f>'WPF styczeń 2013'!J26</f>
        <v>0</v>
      </c>
      <c r="J21" s="1152"/>
      <c r="K21" s="1180">
        <f>'WPF styczeń 2013'!J20</f>
        <v>0</v>
      </c>
      <c r="L21" s="1152"/>
      <c r="M21" s="1152"/>
      <c r="N21" s="1152"/>
    </row>
    <row r="22" spans="1:14" ht="23.25">
      <c r="A22" s="1165">
        <v>2016</v>
      </c>
      <c r="B22" s="1166"/>
      <c r="C22" s="1167">
        <f>'WPF styczeń 2013'!K59</f>
        <v>0</v>
      </c>
      <c r="D22" s="1175">
        <f>'WPF styczeń 2013'!K17+'WPF styczeń 2013'!K19</f>
        <v>0</v>
      </c>
      <c r="E22" s="1168">
        <f>'WPF styczeń 2013'!K7</f>
        <v>0</v>
      </c>
      <c r="F22" s="1169"/>
      <c r="G22" s="1172">
        <f>'WPF styczeń 2013'!K11</f>
        <v>0</v>
      </c>
      <c r="H22" s="1167">
        <f>'WPF styczeń 2013'!K12</f>
        <v>0</v>
      </c>
      <c r="I22" s="1174">
        <f>'WPF styczeń 2013'!K26</f>
        <v>0</v>
      </c>
      <c r="J22" s="1152"/>
      <c r="K22" s="1180">
        <f>'WPF styczeń 2013'!K20</f>
        <v>0</v>
      </c>
      <c r="L22" s="1152"/>
      <c r="M22" s="1152"/>
      <c r="N22" s="1152"/>
    </row>
    <row r="23" spans="1:14" ht="23.25">
      <c r="A23" s="1165">
        <v>2017</v>
      </c>
      <c r="B23" s="1166"/>
      <c r="C23" s="1167">
        <f>'WPF styczeń 2013'!L59</f>
        <v>0</v>
      </c>
      <c r="D23" s="1175">
        <f>'WPF styczeń 2013'!L17+'WPF styczeń 2013'!L19</f>
        <v>0</v>
      </c>
      <c r="E23" s="1168">
        <f>'WPF styczeń 2013'!L7</f>
        <v>0</v>
      </c>
      <c r="F23" s="1169"/>
      <c r="G23" s="1172">
        <f>'WPF styczeń 2013'!L11</f>
        <v>0</v>
      </c>
      <c r="H23" s="1167">
        <f>'WPF styczeń 2013'!L12</f>
        <v>0</v>
      </c>
      <c r="I23" s="1174">
        <f>'WPF styczeń 2013'!L26</f>
        <v>0</v>
      </c>
      <c r="J23" s="1152"/>
      <c r="K23" s="1180">
        <f>'WPF styczeń 2013'!L20</f>
        <v>0</v>
      </c>
      <c r="L23" s="1152"/>
      <c r="M23" s="1152"/>
      <c r="N23" s="1152"/>
    </row>
    <row r="24" spans="1:14" ht="23.25">
      <c r="A24" s="1165">
        <v>2018</v>
      </c>
      <c r="B24" s="1166"/>
      <c r="C24" s="1167">
        <f>'WPF styczeń 2013'!M59</f>
        <v>0</v>
      </c>
      <c r="D24" s="1175">
        <f>'WPF styczeń 2013'!M17+'WPF styczeń 2013'!M19</f>
        <v>0</v>
      </c>
      <c r="E24" s="1168">
        <f>'WPF styczeń 2013'!M7</f>
        <v>0</v>
      </c>
      <c r="F24" s="1169"/>
      <c r="G24" s="1172">
        <f>'WPF styczeń 2013'!M11</f>
        <v>0</v>
      </c>
      <c r="H24" s="1167">
        <f>'WPF styczeń 2013'!M12</f>
        <v>0</v>
      </c>
      <c r="I24" s="1174">
        <f>'WPF styczeń 2013'!M26</f>
        <v>0</v>
      </c>
      <c r="J24" s="1152"/>
      <c r="K24" s="1180">
        <f>'WPF styczeń 2013'!M20</f>
        <v>0</v>
      </c>
      <c r="L24" s="1152"/>
      <c r="M24" s="1152"/>
      <c r="N24" s="1152"/>
    </row>
    <row r="25" spans="1:14" ht="23.25">
      <c r="A25" s="1165">
        <v>2019</v>
      </c>
      <c r="B25" s="1166"/>
      <c r="C25" s="1167">
        <f>'WPF styczeń 2013'!N59</f>
        <v>0</v>
      </c>
      <c r="D25" s="1175">
        <f>'WPF styczeń 2013'!N17+'WPF styczeń 2013'!N19</f>
        <v>0</v>
      </c>
      <c r="E25" s="1168">
        <f>'WPF styczeń 2013'!N7</f>
        <v>0</v>
      </c>
      <c r="F25" s="1169"/>
      <c r="G25" s="1172">
        <f>'WPF styczeń 2013'!N11</f>
        <v>0</v>
      </c>
      <c r="H25" s="1167">
        <f>'WPF styczeń 2013'!N12</f>
        <v>0</v>
      </c>
      <c r="I25" s="1174">
        <f>'WPF styczeń 2013'!N26</f>
        <v>0</v>
      </c>
      <c r="J25" s="1152"/>
      <c r="K25" s="1180">
        <f>'WPF styczeń 2013'!N20</f>
        <v>0</v>
      </c>
      <c r="L25" s="1152"/>
      <c r="M25" s="1152"/>
      <c r="N25" s="1152"/>
    </row>
    <row r="26" spans="1:14" ht="23.25">
      <c r="A26" s="1165">
        <v>2020</v>
      </c>
      <c r="B26" s="1166"/>
      <c r="C26" s="1167">
        <f>'WPF styczeń 2013'!O59</f>
        <v>0</v>
      </c>
      <c r="D26" s="1175">
        <f>'WPF styczeń 2013'!O17+'WPF styczeń 2013'!O19</f>
        <v>0</v>
      </c>
      <c r="E26" s="1168">
        <f>'WPF styczeń 2013'!O7</f>
        <v>0</v>
      </c>
      <c r="F26" s="1169"/>
      <c r="G26" s="1172">
        <f>'WPF styczeń 2013'!O11</f>
        <v>0</v>
      </c>
      <c r="H26" s="1167">
        <f>'WPF styczeń 2013'!O12</f>
        <v>0</v>
      </c>
      <c r="I26" s="1174">
        <f>'WPF styczeń 2013'!O26</f>
        <v>0</v>
      </c>
      <c r="J26" s="1152"/>
      <c r="K26" s="1180">
        <f>'WPF styczeń 2013'!O20</f>
        <v>0</v>
      </c>
      <c r="L26" s="1152"/>
      <c r="M26" s="1152"/>
      <c r="N26" s="1152"/>
    </row>
    <row r="27" spans="1:14" ht="23.25">
      <c r="A27" s="1165">
        <v>2021</v>
      </c>
      <c r="B27" s="1166"/>
      <c r="C27" s="1167">
        <f>'WPF styczeń 2013'!P59</f>
        <v>0</v>
      </c>
      <c r="D27" s="1175">
        <f>'WPF styczeń 2013'!P17+'WPF styczeń 2013'!P19</f>
        <v>0</v>
      </c>
      <c r="E27" s="1168">
        <f>'WPF styczeń 2013'!P7</f>
        <v>0</v>
      </c>
      <c r="F27" s="1169"/>
      <c r="G27" s="1172">
        <f>'WPF styczeń 2013'!P11</f>
        <v>0</v>
      </c>
      <c r="H27" s="1167">
        <f>'WPF styczeń 2013'!P12</f>
        <v>0</v>
      </c>
      <c r="I27" s="1174">
        <f>'WPF styczeń 2013'!P26</f>
        <v>0</v>
      </c>
      <c r="J27" s="1152"/>
      <c r="K27" s="1180">
        <f>'WPF styczeń 2013'!P20</f>
        <v>0</v>
      </c>
      <c r="L27" s="1152"/>
      <c r="M27" s="1152"/>
      <c r="N27" s="1152"/>
    </row>
    <row r="28" spans="1:14" ht="23.25">
      <c r="A28" s="1165">
        <v>2022</v>
      </c>
      <c r="B28" s="1166"/>
      <c r="C28" s="1167">
        <f>'WPF styczeń 2013'!Q59</f>
        <v>0</v>
      </c>
      <c r="D28" s="1175">
        <f>'WPF styczeń 2013'!Q17+'WPF styczeń 2013'!Q19</f>
        <v>0</v>
      </c>
      <c r="E28" s="1168">
        <f>'WPF styczeń 2013'!Q7</f>
        <v>0</v>
      </c>
      <c r="F28" s="1169"/>
      <c r="G28" s="1172">
        <f>'WPF styczeń 2013'!Q11</f>
        <v>0</v>
      </c>
      <c r="H28" s="1167">
        <f>'WPF styczeń 2013'!Q12</f>
        <v>0</v>
      </c>
      <c r="I28" s="1174">
        <f>'WPF styczeń 2013'!Q26</f>
        <v>0</v>
      </c>
      <c r="J28" s="1152"/>
      <c r="K28" s="1180">
        <f>'WPF styczeń 2013'!Q20</f>
        <v>0</v>
      </c>
      <c r="L28" s="1152"/>
      <c r="M28" s="1152"/>
      <c r="N28" s="1152"/>
    </row>
    <row r="29" spans="1:14" ht="23.25">
      <c r="A29" s="1165">
        <v>2023</v>
      </c>
      <c r="B29" s="1166"/>
      <c r="C29" s="1167">
        <f>'WPF styczeń 2013'!R59</f>
        <v>0</v>
      </c>
      <c r="D29" s="1175">
        <f>'WPF styczeń 2013'!R17+'WPF styczeń 2013'!R19</f>
        <v>0</v>
      </c>
      <c r="E29" s="1168">
        <f>'WPF styczeń 2013'!R7</f>
        <v>0</v>
      </c>
      <c r="F29" s="1169"/>
      <c r="G29" s="1172">
        <f>'WPF styczeń 2013'!R11</f>
        <v>0</v>
      </c>
      <c r="H29" s="1167">
        <f>'WPF styczeń 2013'!R12</f>
        <v>0</v>
      </c>
      <c r="I29" s="1174">
        <f>'WPF styczeń 2013'!R26</f>
        <v>0</v>
      </c>
      <c r="J29" s="1152"/>
      <c r="K29" s="1180">
        <v>0</v>
      </c>
      <c r="L29" s="1152"/>
      <c r="M29" s="1152"/>
      <c r="N29" s="1152"/>
    </row>
    <row r="30" spans="1:14" ht="23.25">
      <c r="A30" s="1165">
        <v>2024</v>
      </c>
      <c r="B30" s="1166"/>
      <c r="C30" s="1167">
        <f>'WPF styczeń 2013'!S59</f>
        <v>0</v>
      </c>
      <c r="D30" s="1175">
        <f>'WPF styczeń 2013'!S17+'WPF styczeń 2013'!S19</f>
        <v>0</v>
      </c>
      <c r="E30" s="1168">
        <f>'WPF styczeń 2013'!S7</f>
        <v>0</v>
      </c>
      <c r="F30" s="1169"/>
      <c r="G30" s="1172">
        <f>'WPF styczeń 2013'!S11</f>
        <v>0</v>
      </c>
      <c r="H30" s="1167">
        <f>'WPF styczeń 2013'!S12</f>
        <v>0</v>
      </c>
      <c r="I30" s="1174">
        <f>'WPF styczeń 2013'!S26</f>
        <v>0</v>
      </c>
      <c r="J30" s="1152"/>
      <c r="K30" s="1180">
        <v>0</v>
      </c>
      <c r="L30" s="1152"/>
      <c r="M30" s="1152"/>
      <c r="N30" s="1152"/>
    </row>
    <row r="31" spans="1:14" ht="23.25">
      <c r="A31" s="1165">
        <v>2025</v>
      </c>
      <c r="B31" s="1166"/>
      <c r="C31" s="1167">
        <f>'WPF styczeń 2013'!T59</f>
        <v>0</v>
      </c>
      <c r="D31" s="1175">
        <f>'WPF styczeń 2013'!T17+'WPF styczeń 2013'!T19</f>
        <v>0</v>
      </c>
      <c r="E31" s="1168">
        <f>'WPF styczeń 2013'!T7</f>
        <v>0</v>
      </c>
      <c r="F31" s="1169"/>
      <c r="G31" s="1172">
        <f>'WPF styczeń 2013'!T11</f>
        <v>0</v>
      </c>
      <c r="H31" s="1167">
        <f>'WPF styczeń 2013'!T12</f>
        <v>0</v>
      </c>
      <c r="I31" s="1174">
        <f>'WPF styczeń 2013'!T26</f>
        <v>0</v>
      </c>
      <c r="J31" s="1152"/>
      <c r="K31" s="1180">
        <v>0</v>
      </c>
      <c r="L31" s="1152"/>
      <c r="M31" s="1152"/>
      <c r="N31" s="1152"/>
    </row>
    <row r="32" spans="1:14" ht="23.25">
      <c r="A32" s="1165">
        <v>2026</v>
      </c>
      <c r="B32" s="1166"/>
      <c r="C32" s="1167">
        <f>'WPF styczeń 2013'!U59</f>
        <v>0</v>
      </c>
      <c r="D32" s="1175">
        <f>'WPF styczeń 2013'!U17+'WPF styczeń 2013'!U19</f>
        <v>0</v>
      </c>
      <c r="E32" s="1168">
        <f>'WPF styczeń 2013'!U7</f>
        <v>0</v>
      </c>
      <c r="F32" s="1169"/>
      <c r="G32" s="1172">
        <f>'WPF styczeń 2013'!U11</f>
        <v>0</v>
      </c>
      <c r="H32" s="1167">
        <f>'WPF styczeń 2013'!U12</f>
        <v>0</v>
      </c>
      <c r="I32" s="1174">
        <f>'WPF styczeń 2013'!U26</f>
        <v>0</v>
      </c>
      <c r="J32" s="1152"/>
      <c r="K32" s="1180">
        <v>0</v>
      </c>
      <c r="L32" s="1152"/>
      <c r="M32" s="1152"/>
      <c r="N32" s="1152"/>
    </row>
    <row r="33" spans="1:14" ht="24" thickBot="1">
      <c r="A33" s="1165">
        <v>2027</v>
      </c>
      <c r="B33" s="1166"/>
      <c r="C33" s="1167">
        <f>'WPF styczeń 2013'!V59</f>
        <v>0</v>
      </c>
      <c r="D33" s="1175">
        <f>'WPF styczeń 2013'!V17+'WPF styczeń 2013'!V19</f>
        <v>0</v>
      </c>
      <c r="E33" s="1168">
        <f>'WPF styczeń 2013'!V7</f>
        <v>0</v>
      </c>
      <c r="F33" s="1169"/>
      <c r="G33" s="1172">
        <f>'WPF styczeń 2013'!V11</f>
        <v>0</v>
      </c>
      <c r="H33" s="1167">
        <f>'WPF styczeń 2013'!V12</f>
        <v>0</v>
      </c>
      <c r="I33" s="1174">
        <f>'WPF styczeń 2013'!V26</f>
        <v>0</v>
      </c>
      <c r="J33" s="1152"/>
      <c r="K33" s="1181">
        <v>0</v>
      </c>
      <c r="L33" s="1152"/>
      <c r="M33" s="1152"/>
      <c r="N33" s="1152"/>
    </row>
    <row r="34" spans="1:14" ht="23.25">
      <c r="A34" s="1152"/>
      <c r="B34" s="1152"/>
      <c r="C34" s="1176"/>
      <c r="D34" s="1176"/>
      <c r="E34" s="1152"/>
      <c r="F34" s="1152"/>
      <c r="G34" s="1152"/>
      <c r="H34" s="1152"/>
      <c r="I34" s="1152"/>
      <c r="J34" s="1152"/>
      <c r="K34" s="1152"/>
      <c r="L34" s="1152"/>
      <c r="M34" s="1152"/>
      <c r="N34" s="1152"/>
    </row>
    <row r="35" spans="1:14" ht="17.25" customHeight="1">
      <c r="A35" s="1590">
        <v>2014</v>
      </c>
      <c r="B35" s="1166"/>
      <c r="C35" s="1590" t="e">
        <f>ROUND(((C20+D20)/E20),4)</f>
        <v>#DIV/0!</v>
      </c>
      <c r="D35" s="1590"/>
      <c r="E35" s="1590"/>
      <c r="F35" s="1591" t="s">
        <v>485</v>
      </c>
      <c r="G35" s="1593">
        <f>ROUND(((((G19+I19-H19+K19)/E19)+((G18+I18-H18)/E18)+((G17+I17-H17)/E17)))/3,4)</f>
        <v>5.2499999999999998E-2</v>
      </c>
      <c r="H35" s="1590"/>
      <c r="I35" s="1594"/>
      <c r="J35" s="1152"/>
      <c r="K35" s="1152"/>
      <c r="L35" s="1152"/>
      <c r="M35" s="1152"/>
      <c r="N35" s="1152"/>
    </row>
    <row r="36" spans="1:14" ht="18.75" customHeight="1">
      <c r="A36" s="1590"/>
      <c r="B36" s="1166"/>
      <c r="C36" s="1590"/>
      <c r="D36" s="1590"/>
      <c r="E36" s="1590"/>
      <c r="F36" s="1592"/>
      <c r="G36" s="1593"/>
      <c r="H36" s="1590"/>
      <c r="I36" s="1594"/>
      <c r="J36" s="1152"/>
      <c r="K36" s="1152"/>
      <c r="L36" s="1152"/>
      <c r="M36" s="1152"/>
      <c r="N36" s="1152"/>
    </row>
    <row r="37" spans="1:14" ht="23.25">
      <c r="A37" s="1586">
        <v>2015</v>
      </c>
      <c r="B37" s="1177"/>
      <c r="C37" s="1586" t="e">
        <f>ROUND(((C21+D21)/E21),4)</f>
        <v>#DIV/0!</v>
      </c>
      <c r="D37" s="1586"/>
      <c r="E37" s="1586"/>
      <c r="F37" s="1583" t="s">
        <v>485</v>
      </c>
      <c r="G37" s="1585" t="e">
        <f>ROUND(((((G20+I20-H20+K20)/E20)+((G19+I19-H19+K19)/E19)+((G18+I18-H18)/E18)))/3,4)</f>
        <v>#DIV/0!</v>
      </c>
      <c r="H37" s="1586"/>
      <c r="I37" s="1587"/>
      <c r="J37" s="1152"/>
      <c r="K37" s="1152"/>
      <c r="L37" s="1152"/>
      <c r="M37" s="1152"/>
      <c r="N37" s="1152"/>
    </row>
    <row r="38" spans="1:14" ht="23.25">
      <c r="A38" s="1586"/>
      <c r="B38" s="1177"/>
      <c r="C38" s="1586"/>
      <c r="D38" s="1586"/>
      <c r="E38" s="1586"/>
      <c r="F38" s="1584"/>
      <c r="G38" s="1585"/>
      <c r="H38" s="1586"/>
      <c r="I38" s="1587"/>
      <c r="J38" s="1152"/>
      <c r="K38" s="1152"/>
      <c r="L38" s="1152"/>
      <c r="M38" s="1152"/>
      <c r="N38" s="1152"/>
    </row>
    <row r="39" spans="1:14" ht="15">
      <c r="A39" s="1590">
        <v>2016</v>
      </c>
      <c r="B39" s="1166"/>
      <c r="C39" s="1590" t="e">
        <f>ROUND(((C22+D22)/E22),4)</f>
        <v>#DIV/0!</v>
      </c>
      <c r="D39" s="1590"/>
      <c r="E39" s="1590"/>
      <c r="F39" s="1591" t="s">
        <v>485</v>
      </c>
      <c r="G39" s="1593" t="e">
        <f>ROUND(((((G21+I21-H21+K21)/E21)+((G20+I20-H20+K20)/E20)+((G19+I19-H19+K19)/E19)))/3,4)</f>
        <v>#DIV/0!</v>
      </c>
      <c r="H39" s="1590"/>
      <c r="I39" s="1594"/>
    </row>
    <row r="40" spans="1:14" ht="15">
      <c r="A40" s="1590"/>
      <c r="B40" s="1166"/>
      <c r="C40" s="1590"/>
      <c r="D40" s="1590"/>
      <c r="E40" s="1590"/>
      <c r="F40" s="1592"/>
      <c r="G40" s="1593"/>
      <c r="H40" s="1590"/>
      <c r="I40" s="1594"/>
    </row>
    <row r="41" spans="1:14" ht="15">
      <c r="A41" s="1586">
        <v>2017</v>
      </c>
      <c r="B41" s="1177"/>
      <c r="C41" s="1586" t="e">
        <f>ROUND(((C23+D23)/E23),4)</f>
        <v>#DIV/0!</v>
      </c>
      <c r="D41" s="1586"/>
      <c r="E41" s="1586"/>
      <c r="F41" s="1583" t="s">
        <v>485</v>
      </c>
      <c r="G41" s="1585" t="e">
        <f>ROUND(((((G22+I22-H22+K22)/E22)+((G21+I21-H21+K21)/E21)+((G20+I20-H20+K20)/E20)))/3,4)</f>
        <v>#DIV/0!</v>
      </c>
      <c r="H41" s="1586"/>
      <c r="I41" s="1587"/>
    </row>
    <row r="42" spans="1:14" ht="15">
      <c r="A42" s="1586"/>
      <c r="B42" s="1177"/>
      <c r="C42" s="1586"/>
      <c r="D42" s="1586"/>
      <c r="E42" s="1586"/>
      <c r="F42" s="1584"/>
      <c r="G42" s="1585"/>
      <c r="H42" s="1586"/>
      <c r="I42" s="1587"/>
    </row>
    <row r="43" spans="1:14" ht="15">
      <c r="A43" s="1590">
        <v>2018</v>
      </c>
      <c r="B43" s="1166"/>
      <c r="C43" s="1590" t="e">
        <f>ROUND(((C24+D24)/E24),4)</f>
        <v>#DIV/0!</v>
      </c>
      <c r="D43" s="1590"/>
      <c r="E43" s="1590"/>
      <c r="F43" s="1591" t="s">
        <v>485</v>
      </c>
      <c r="G43" s="1593" t="e">
        <f>ROUND(((((G23+I23-H23+K23)/E23)+((G22+I22-H22+K22)/E22)+((G21+I21-H21+K21)/E21)))/3,4)</f>
        <v>#DIV/0!</v>
      </c>
      <c r="H43" s="1590"/>
      <c r="I43" s="1594"/>
    </row>
    <row r="44" spans="1:14" ht="15">
      <c r="A44" s="1590"/>
      <c r="B44" s="1166"/>
      <c r="C44" s="1590"/>
      <c r="D44" s="1590"/>
      <c r="E44" s="1590"/>
      <c r="F44" s="1592"/>
      <c r="G44" s="1593"/>
      <c r="H44" s="1590"/>
      <c r="I44" s="1594"/>
    </row>
    <row r="45" spans="1:14" ht="15">
      <c r="A45" s="1586">
        <v>2019</v>
      </c>
      <c r="B45" s="1177"/>
      <c r="C45" s="1586" t="e">
        <f>ROUND(((C25+D25)/E25),4)</f>
        <v>#DIV/0!</v>
      </c>
      <c r="D45" s="1586"/>
      <c r="E45" s="1586"/>
      <c r="F45" s="1583" t="s">
        <v>485</v>
      </c>
      <c r="G45" s="1585" t="e">
        <f>ROUND(((((G24+I24-H24+K24)/E24)+((G23+I23-H23+K23)/E23)+((G22+I22-H22+K22)/E22)))/3,4)</f>
        <v>#DIV/0!</v>
      </c>
      <c r="H45" s="1586"/>
      <c r="I45" s="1587"/>
    </row>
    <row r="46" spans="1:14" ht="15">
      <c r="A46" s="1586"/>
      <c r="B46" s="1177"/>
      <c r="C46" s="1586"/>
      <c r="D46" s="1586"/>
      <c r="E46" s="1586"/>
      <c r="F46" s="1584"/>
      <c r="G46" s="1585"/>
      <c r="H46" s="1586"/>
      <c r="I46" s="1587"/>
    </row>
    <row r="47" spans="1:14" ht="15">
      <c r="A47" s="1598">
        <v>2020</v>
      </c>
      <c r="B47" s="1178"/>
      <c r="C47" s="1590" t="e">
        <f>ROUND(((C26+D26)/E26),4)</f>
        <v>#DIV/0!</v>
      </c>
      <c r="D47" s="1590"/>
      <c r="E47" s="1590"/>
      <c r="F47" s="1595" t="s">
        <v>485</v>
      </c>
      <c r="G47" s="1597" t="e">
        <f>ROUND(((((G25+I25-H25+K25)/E25)+((G24+I24-H24+K24)/E24)+((G23+I23-H23+K23)/E23)))/3,4)</f>
        <v>#DIV/0!</v>
      </c>
      <c r="H47" s="1598"/>
      <c r="I47" s="1599"/>
    </row>
    <row r="48" spans="1:14" ht="15">
      <c r="A48" s="1598"/>
      <c r="B48" s="1178"/>
      <c r="C48" s="1590"/>
      <c r="D48" s="1590"/>
      <c r="E48" s="1590"/>
      <c r="F48" s="1596"/>
      <c r="G48" s="1597"/>
      <c r="H48" s="1598"/>
      <c r="I48" s="1599"/>
    </row>
    <row r="49" spans="1:9" ht="15">
      <c r="A49" s="1586">
        <v>2021</v>
      </c>
      <c r="B49" s="1177"/>
      <c r="C49" s="1586" t="e">
        <f>ROUND(((C27+D27)/E27),4)</f>
        <v>#DIV/0!</v>
      </c>
      <c r="D49" s="1586"/>
      <c r="E49" s="1586"/>
      <c r="F49" s="1583" t="s">
        <v>485</v>
      </c>
      <c r="G49" s="1601" t="e">
        <f>ROUND(((((G26+I26-H26+K26)/E26)+((G25+I25-H25+K25)/E25)+((G24+I24-H24+K24)/E24)))/3,4)</f>
        <v>#DIV/0!</v>
      </c>
      <c r="H49" s="1602"/>
      <c r="I49" s="1603"/>
    </row>
    <row r="50" spans="1:9" ht="15">
      <c r="A50" s="1586"/>
      <c r="B50" s="1177"/>
      <c r="C50" s="1586"/>
      <c r="D50" s="1586"/>
      <c r="E50" s="1586"/>
      <c r="F50" s="1584"/>
      <c r="G50" s="1601"/>
      <c r="H50" s="1602"/>
      <c r="I50" s="1603"/>
    </row>
    <row r="51" spans="1:9" ht="15">
      <c r="A51" s="1598">
        <v>2022</v>
      </c>
      <c r="B51" s="1178"/>
      <c r="C51" s="1600" t="e">
        <f>ROUND(((C28+D28)/E28),4)</f>
        <v>#DIV/0!</v>
      </c>
      <c r="D51" s="1600"/>
      <c r="E51" s="1600"/>
      <c r="F51" s="1595" t="s">
        <v>485</v>
      </c>
      <c r="G51" s="1597" t="e">
        <f>ROUND(((((G27+I27-H27+K27)/E27)+((G26+I26-H26+K26)/E26)+((G25+I25-H25+K25)/E25)))/3,4)</f>
        <v>#DIV/0!</v>
      </c>
      <c r="H51" s="1598"/>
      <c r="I51" s="1599"/>
    </row>
    <row r="52" spans="1:9" ht="15">
      <c r="A52" s="1598"/>
      <c r="B52" s="1178"/>
      <c r="C52" s="1600"/>
      <c r="D52" s="1600"/>
      <c r="E52" s="1600"/>
      <c r="F52" s="1596"/>
      <c r="G52" s="1597"/>
      <c r="H52" s="1598"/>
      <c r="I52" s="1599"/>
    </row>
    <row r="53" spans="1:9" ht="15">
      <c r="A53" s="1586">
        <v>2023</v>
      </c>
      <c r="B53" s="1177"/>
      <c r="C53" s="1586" t="e">
        <f>ROUND(((C29+D29)/E29),4)</f>
        <v>#DIV/0!</v>
      </c>
      <c r="D53" s="1586"/>
      <c r="E53" s="1586"/>
      <c r="F53" s="1583" t="s">
        <v>485</v>
      </c>
      <c r="G53" s="1585" t="e">
        <f>ROUND(((((G28+I28-H28+K28)/E28)+((G27+I27-H27+K27)/E27)+((G26+I26-H26+K26)/E26)))/3,4)</f>
        <v>#DIV/0!</v>
      </c>
      <c r="H53" s="1586"/>
      <c r="I53" s="1587"/>
    </row>
    <row r="54" spans="1:9" ht="15">
      <c r="A54" s="1586"/>
      <c r="B54" s="1177"/>
      <c r="C54" s="1586"/>
      <c r="D54" s="1586"/>
      <c r="E54" s="1586"/>
      <c r="F54" s="1584"/>
      <c r="G54" s="1585"/>
      <c r="H54" s="1586"/>
      <c r="I54" s="1587"/>
    </row>
    <row r="55" spans="1:9" ht="15">
      <c r="A55" s="1598">
        <v>2024</v>
      </c>
      <c r="B55" s="1178"/>
      <c r="C55" s="1590" t="e">
        <f>ROUND(((C30+D30)/E30),4)</f>
        <v>#DIV/0!</v>
      </c>
      <c r="D55" s="1590"/>
      <c r="E55" s="1590"/>
      <c r="F55" s="1595" t="s">
        <v>485</v>
      </c>
      <c r="G55" s="1593" t="e">
        <f>ROUND(((((G29+I29-H29)/E29)+((G28+I28-H28+K28)/E28)+((G27+I27-H27+K27)/E27)))/3,4)</f>
        <v>#DIV/0!</v>
      </c>
      <c r="H55" s="1590"/>
      <c r="I55" s="1594"/>
    </row>
    <row r="56" spans="1:9" ht="15">
      <c r="A56" s="1598"/>
      <c r="B56" s="1178"/>
      <c r="C56" s="1590"/>
      <c r="D56" s="1590"/>
      <c r="E56" s="1590"/>
      <c r="F56" s="1596"/>
      <c r="G56" s="1593"/>
      <c r="H56" s="1590"/>
      <c r="I56" s="1594"/>
    </row>
    <row r="57" spans="1:9" ht="15">
      <c r="A57" s="1586">
        <v>2025</v>
      </c>
      <c r="B57" s="1177"/>
      <c r="C57" s="1586" t="e">
        <f>ROUND(((C31+D31)/E31),4)</f>
        <v>#DIV/0!</v>
      </c>
      <c r="D57" s="1586"/>
      <c r="E57" s="1586"/>
      <c r="F57" s="1583" t="s">
        <v>485</v>
      </c>
      <c r="G57" s="1585" t="e">
        <f>ROUND(((((G30+I30-H30)/E30)+((G29+I29-H29)/E29)+((G28+I28-H28+K28)/E28)))/3,4)</f>
        <v>#DIV/0!</v>
      </c>
      <c r="H57" s="1586"/>
      <c r="I57" s="1587"/>
    </row>
    <row r="58" spans="1:9" ht="15">
      <c r="A58" s="1586"/>
      <c r="B58" s="1177"/>
      <c r="C58" s="1586"/>
      <c r="D58" s="1586"/>
      <c r="E58" s="1586"/>
      <c r="F58" s="1584"/>
      <c r="G58" s="1585"/>
      <c r="H58" s="1586"/>
      <c r="I58" s="1587"/>
    </row>
    <row r="59" spans="1:9" ht="15">
      <c r="A59" s="1598">
        <v>2026</v>
      </c>
      <c r="B59" s="1178"/>
      <c r="C59" s="1598" t="e">
        <f>ROUND(((C32+D32)/E32),4)</f>
        <v>#DIV/0!</v>
      </c>
      <c r="D59" s="1598"/>
      <c r="E59" s="1598"/>
      <c r="F59" s="1595" t="s">
        <v>485</v>
      </c>
      <c r="G59" s="1597" t="e">
        <f>ROUND(((((G31+I31-H31)/E31)+((G30+I30-H30)/E30)+((G29+I29-H29)/E29)))/3,4)</f>
        <v>#DIV/0!</v>
      </c>
      <c r="H59" s="1598"/>
      <c r="I59" s="1599"/>
    </row>
    <row r="60" spans="1:9" ht="15">
      <c r="A60" s="1598"/>
      <c r="B60" s="1178"/>
      <c r="C60" s="1598"/>
      <c r="D60" s="1598"/>
      <c r="E60" s="1598"/>
      <c r="F60" s="1596"/>
      <c r="G60" s="1597"/>
      <c r="H60" s="1598"/>
      <c r="I60" s="1599"/>
    </row>
    <row r="61" spans="1:9" ht="15">
      <c r="A61" s="1586">
        <v>2027</v>
      </c>
      <c r="B61" s="1177"/>
      <c r="C61" s="1586" t="e">
        <f>ROUND(((C33+D33)/E33),4)</f>
        <v>#DIV/0!</v>
      </c>
      <c r="D61" s="1586"/>
      <c r="E61" s="1586"/>
      <c r="F61" s="1583" t="s">
        <v>485</v>
      </c>
      <c r="G61" s="1585" t="e">
        <f>ROUND(((((G32+I32-H32)/E32)+((G31+I31-H31)/E31)+((G30+I30-H30)/E30)))/3,4)</f>
        <v>#DIV/0!</v>
      </c>
      <c r="H61" s="1586"/>
      <c r="I61" s="1587"/>
    </row>
    <row r="62" spans="1:9" ht="15">
      <c r="A62" s="1586"/>
      <c r="B62" s="1177"/>
      <c r="C62" s="1586"/>
      <c r="D62" s="1586"/>
      <c r="E62" s="1586"/>
      <c r="F62" s="1584"/>
      <c r="G62" s="1585"/>
      <c r="H62" s="1586"/>
      <c r="I62" s="1587"/>
    </row>
  </sheetData>
  <mergeCells count="58">
    <mergeCell ref="A49:A50"/>
    <mergeCell ref="C49:E50"/>
    <mergeCell ref="F49:F50"/>
    <mergeCell ref="G49:I50"/>
    <mergeCell ref="A59:A60"/>
    <mergeCell ref="C59:E60"/>
    <mergeCell ref="F59:F60"/>
    <mergeCell ref="G59:I60"/>
    <mergeCell ref="F51:F52"/>
    <mergeCell ref="G51:I52"/>
    <mergeCell ref="A55:A56"/>
    <mergeCell ref="C55:E56"/>
    <mergeCell ref="F55:F56"/>
    <mergeCell ref="G55:I56"/>
    <mergeCell ref="A57:A58"/>
    <mergeCell ref="C57:E58"/>
    <mergeCell ref="A61:A62"/>
    <mergeCell ref="C61:E62"/>
    <mergeCell ref="F61:F62"/>
    <mergeCell ref="G61:I62"/>
    <mergeCell ref="A45:A46"/>
    <mergeCell ref="C45:E46"/>
    <mergeCell ref="F45:F46"/>
    <mergeCell ref="G45:I46"/>
    <mergeCell ref="A53:A54"/>
    <mergeCell ref="C53:E54"/>
    <mergeCell ref="F53:F54"/>
    <mergeCell ref="G53:I54"/>
    <mergeCell ref="A47:A48"/>
    <mergeCell ref="C47:E48"/>
    <mergeCell ref="A51:A52"/>
    <mergeCell ref="C51:E52"/>
    <mergeCell ref="F47:F48"/>
    <mergeCell ref="G47:I48"/>
    <mergeCell ref="A41:A42"/>
    <mergeCell ref="C41:E42"/>
    <mergeCell ref="F41:F42"/>
    <mergeCell ref="G41:I42"/>
    <mergeCell ref="A43:A44"/>
    <mergeCell ref="C43:E44"/>
    <mergeCell ref="F43:F44"/>
    <mergeCell ref="G43:I44"/>
    <mergeCell ref="F57:F58"/>
    <mergeCell ref="G57:I58"/>
    <mergeCell ref="B5:N5"/>
    <mergeCell ref="B6:N6"/>
    <mergeCell ref="A35:A36"/>
    <mergeCell ref="C35:E36"/>
    <mergeCell ref="F35:F36"/>
    <mergeCell ref="G35:I36"/>
    <mergeCell ref="A37:A38"/>
    <mergeCell ref="C37:E38"/>
    <mergeCell ref="F37:F38"/>
    <mergeCell ref="G37:I38"/>
    <mergeCell ref="A39:A40"/>
    <mergeCell ref="C39:E40"/>
    <mergeCell ref="F39:F40"/>
    <mergeCell ref="G39:I40"/>
  </mergeCells>
  <pageMargins left="0.70866141732283472" right="0.70866141732283472" top="0.74803149606299213" bottom="0.55118110236220474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AI151"/>
  <sheetViews>
    <sheetView tabSelected="1" zoomScale="40" zoomScaleNormal="40" zoomScaleSheetLayoutView="70" workbookViewId="0">
      <pane xSplit="2" ySplit="5" topLeftCell="O66" activePane="bottomRight" state="frozen"/>
      <selection activeCell="N51" sqref="N51"/>
      <selection pane="topRight" activeCell="N51" sqref="N51"/>
      <selection pane="bottomLeft" activeCell="N51" sqref="N51"/>
      <selection pane="bottomRight" activeCell="U126" sqref="U126"/>
    </sheetView>
  </sheetViews>
  <sheetFormatPr defaultColWidth="0" defaultRowHeight="12.75" zeroHeight="1"/>
  <cols>
    <col min="1" max="1" width="17.28515625" style="1" customWidth="1"/>
    <col min="2" max="2" width="55.7109375" style="4" customWidth="1"/>
    <col min="3" max="4" width="31" style="4" hidden="1" customWidth="1"/>
    <col min="5" max="6" width="31" style="6" hidden="1" customWidth="1"/>
    <col min="7" max="7" width="31" style="1" hidden="1" customWidth="1"/>
    <col min="8" max="8" width="34.85546875" style="1" hidden="1" customWidth="1"/>
    <col min="9" max="9" width="41.140625" style="1" customWidth="1"/>
    <col min="10" max="10" width="40.28515625" style="1" customWidth="1"/>
    <col min="11" max="11" width="37.140625" style="1" customWidth="1"/>
    <col min="12" max="12" width="38.85546875" style="1" customWidth="1"/>
    <col min="13" max="13" width="38.28515625" style="1" customWidth="1"/>
    <col min="14" max="14" width="36.85546875" style="1" customWidth="1"/>
    <col min="15" max="15" width="38" style="1" customWidth="1"/>
    <col min="16" max="16" width="35.7109375" style="1" customWidth="1"/>
    <col min="17" max="17" width="36.28515625" style="1" customWidth="1"/>
    <col min="18" max="18" width="37.7109375" style="1" customWidth="1"/>
    <col min="19" max="19" width="39.140625" style="1" customWidth="1"/>
    <col min="20" max="20" width="38.5703125" style="1" customWidth="1"/>
    <col min="21" max="21" width="38.85546875" style="1" customWidth="1"/>
    <col min="22" max="22" width="37.140625" style="1" customWidth="1"/>
    <col min="23" max="24" width="31.140625" style="1" hidden="1" customWidth="1"/>
    <col min="25" max="25" width="37.42578125" style="1" hidden="1" customWidth="1"/>
    <col min="26" max="26" width="0.5703125" style="1" hidden="1" customWidth="1"/>
    <col min="27" max="32" width="19.7109375" style="1" hidden="1" customWidth="1"/>
    <col min="33" max="33" width="67.5703125" style="12" customWidth="1"/>
    <col min="34" max="35" width="0" style="7" hidden="1" customWidth="1"/>
    <col min="36" max="264" width="9.140625" style="7" hidden="1" customWidth="1"/>
    <col min="265" max="16384" width="9.140625" style="7" hidden="1"/>
  </cols>
  <sheetData>
    <row r="1" spans="1:33" ht="116.25" customHeight="1">
      <c r="Q1" s="1606"/>
      <c r="R1" s="1606"/>
      <c r="S1" s="1606"/>
      <c r="T1" s="1604" t="s">
        <v>551</v>
      </c>
      <c r="U1" s="1605"/>
      <c r="V1" s="1605"/>
      <c r="W1" s="1605"/>
      <c r="X1" s="1605"/>
      <c r="Y1" s="1605"/>
    </row>
    <row r="2" spans="1:33" s="799" customFormat="1" ht="35.25" customHeight="1">
      <c r="A2" s="797"/>
      <c r="B2" s="1610" t="s">
        <v>0</v>
      </c>
      <c r="C2" s="1611" t="s">
        <v>332</v>
      </c>
      <c r="D2" s="1611" t="s">
        <v>332</v>
      </c>
      <c r="E2" s="1611" t="s">
        <v>93</v>
      </c>
      <c r="F2" s="1622" t="s">
        <v>337</v>
      </c>
      <c r="G2" s="1612" t="s">
        <v>546</v>
      </c>
      <c r="H2" s="1613"/>
      <c r="I2" s="1613"/>
      <c r="J2" s="1613"/>
      <c r="K2" s="1613"/>
      <c r="L2" s="1613"/>
      <c r="M2" s="1613"/>
      <c r="N2" s="1613"/>
      <c r="O2" s="1613"/>
      <c r="P2" s="1613"/>
      <c r="Q2" s="1613"/>
      <c r="R2" s="1613"/>
      <c r="S2" s="1613"/>
      <c r="T2" s="1613"/>
      <c r="U2" s="1613"/>
      <c r="V2" s="1613"/>
      <c r="W2" s="1613"/>
      <c r="X2" s="1613"/>
      <c r="Y2" s="1613"/>
      <c r="Z2" s="1613"/>
      <c r="AA2" s="1613"/>
      <c r="AB2" s="1613"/>
      <c r="AC2" s="1613"/>
      <c r="AD2" s="1613"/>
      <c r="AE2" s="1613"/>
      <c r="AF2" s="1614"/>
      <c r="AG2" s="798"/>
    </row>
    <row r="3" spans="1:33" s="799" customFormat="1" ht="24" customHeight="1">
      <c r="A3" s="800"/>
      <c r="B3" s="1610"/>
      <c r="C3" s="1611"/>
      <c r="D3" s="1611"/>
      <c r="E3" s="1611"/>
      <c r="F3" s="1622"/>
      <c r="G3" s="1615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1616"/>
      <c r="T3" s="1616"/>
      <c r="U3" s="1616"/>
      <c r="V3" s="1616"/>
      <c r="W3" s="1616"/>
      <c r="X3" s="1616"/>
      <c r="Y3" s="1616"/>
      <c r="Z3" s="1616"/>
      <c r="AA3" s="1616"/>
      <c r="AB3" s="1616"/>
      <c r="AC3" s="1616"/>
      <c r="AD3" s="1616"/>
      <c r="AE3" s="1616"/>
      <c r="AF3" s="1617"/>
      <c r="AG3" s="801"/>
    </row>
    <row r="4" spans="1:33" s="799" customFormat="1" ht="12" customHeight="1">
      <c r="A4" s="802"/>
      <c r="B4" s="1610"/>
      <c r="C4" s="1611"/>
      <c r="D4" s="1611"/>
      <c r="E4" s="1611"/>
      <c r="F4" s="1622"/>
      <c r="G4" s="1618"/>
      <c r="H4" s="1619"/>
      <c r="I4" s="1619"/>
      <c r="J4" s="1619"/>
      <c r="K4" s="1619"/>
      <c r="L4" s="1619"/>
      <c r="M4" s="1619"/>
      <c r="N4" s="1619"/>
      <c r="O4" s="1619"/>
      <c r="P4" s="1619"/>
      <c r="Q4" s="1619"/>
      <c r="R4" s="1619"/>
      <c r="S4" s="1619"/>
      <c r="T4" s="1619"/>
      <c r="U4" s="1619"/>
      <c r="V4" s="1619"/>
      <c r="W4" s="1619"/>
      <c r="X4" s="1619"/>
      <c r="Y4" s="1619"/>
      <c r="Z4" s="1619"/>
      <c r="AA4" s="1619"/>
      <c r="AB4" s="1619"/>
      <c r="AC4" s="1619"/>
      <c r="AD4" s="1619"/>
      <c r="AE4" s="1619"/>
      <c r="AF4" s="1620"/>
      <c r="AG4" s="801"/>
    </row>
    <row r="5" spans="1:33" s="43" customFormat="1" ht="51.75" customHeight="1">
      <c r="A5" s="897"/>
      <c r="B5" s="898" t="s">
        <v>550</v>
      </c>
      <c r="C5" s="898">
        <v>2009</v>
      </c>
      <c r="D5" s="898">
        <v>2010</v>
      </c>
      <c r="E5" s="899">
        <v>2011</v>
      </c>
      <c r="F5" s="899">
        <v>2011</v>
      </c>
      <c r="G5" s="900">
        <v>2012</v>
      </c>
      <c r="H5" s="900">
        <v>2013</v>
      </c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782">
        <f t="shared" ref="W5" si="0">V5+1</f>
        <v>1</v>
      </c>
      <c r="X5" s="782">
        <f>W5+1</f>
        <v>2</v>
      </c>
      <c r="Y5" s="782">
        <f>X5+1</f>
        <v>3</v>
      </c>
      <c r="AA5" s="688">
        <f>T5+1</f>
        <v>1</v>
      </c>
      <c r="AB5" s="688">
        <f t="shared" ref="AB5:AF5" si="1">AA5+1</f>
        <v>2</v>
      </c>
      <c r="AC5" s="688">
        <f t="shared" si="1"/>
        <v>3</v>
      </c>
      <c r="AD5" s="688">
        <f t="shared" si="1"/>
        <v>4</v>
      </c>
      <c r="AE5" s="688">
        <f t="shared" si="1"/>
        <v>5</v>
      </c>
      <c r="AF5" s="688">
        <f t="shared" si="1"/>
        <v>6</v>
      </c>
      <c r="AG5" s="42"/>
    </row>
    <row r="6" spans="1:33" s="44" customFormat="1" ht="27" thickBot="1">
      <c r="A6" s="901"/>
      <c r="B6" s="902"/>
      <c r="C6" s="902"/>
      <c r="D6" s="902"/>
      <c r="E6" s="903"/>
      <c r="F6" s="903"/>
      <c r="G6" s="904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689"/>
      <c r="X6" s="689"/>
      <c r="Y6" s="783"/>
      <c r="AA6" s="689"/>
      <c r="AB6" s="689"/>
      <c r="AC6" s="689"/>
      <c r="AD6" s="689"/>
      <c r="AE6" s="689"/>
      <c r="AF6" s="689"/>
      <c r="AG6" s="42"/>
    </row>
    <row r="7" spans="1:33" s="41" customFormat="1" ht="60" customHeight="1" thickTop="1">
      <c r="A7" s="905" t="s">
        <v>32</v>
      </c>
      <c r="B7" s="906" t="s">
        <v>37</v>
      </c>
      <c r="C7" s="907">
        <f t="shared" ref="C7:D7" si="2">C11+C25</f>
        <v>131693409.28</v>
      </c>
      <c r="D7" s="907">
        <f t="shared" si="2"/>
        <v>134567387.50999999</v>
      </c>
      <c r="E7" s="908">
        <f t="shared" ref="E7:AF7" si="3">E11+E25</f>
        <v>156826657</v>
      </c>
      <c r="F7" s="908">
        <f t="shared" ref="F7" si="4">F11+F25</f>
        <v>150620109.74000001</v>
      </c>
      <c r="G7" s="909">
        <f t="shared" si="3"/>
        <v>162361778</v>
      </c>
      <c r="H7" s="910">
        <f t="shared" si="3"/>
        <v>171964494.77000001</v>
      </c>
      <c r="I7" s="907">
        <f t="shared" si="3"/>
        <v>0</v>
      </c>
      <c r="J7" s="907">
        <f t="shared" si="3"/>
        <v>0</v>
      </c>
      <c r="K7" s="907">
        <f t="shared" si="3"/>
        <v>0</v>
      </c>
      <c r="L7" s="907">
        <f t="shared" si="3"/>
        <v>0</v>
      </c>
      <c r="M7" s="907">
        <f t="shared" si="3"/>
        <v>0</v>
      </c>
      <c r="N7" s="907">
        <f>N11+N25</f>
        <v>0</v>
      </c>
      <c r="O7" s="907">
        <f t="shared" si="3"/>
        <v>0</v>
      </c>
      <c r="P7" s="907">
        <f t="shared" si="3"/>
        <v>0</v>
      </c>
      <c r="Q7" s="907">
        <f t="shared" si="3"/>
        <v>0</v>
      </c>
      <c r="R7" s="907">
        <f t="shared" si="3"/>
        <v>0</v>
      </c>
      <c r="S7" s="907">
        <f t="shared" si="3"/>
        <v>0</v>
      </c>
      <c r="T7" s="907">
        <f t="shared" ref="T7:Y7" si="5">T11+T25</f>
        <v>0</v>
      </c>
      <c r="U7" s="907">
        <f t="shared" si="5"/>
        <v>0</v>
      </c>
      <c r="V7" s="907">
        <f t="shared" si="5"/>
        <v>0</v>
      </c>
      <c r="W7" s="690">
        <f t="shared" si="5"/>
        <v>199200000</v>
      </c>
      <c r="X7" s="690">
        <f t="shared" si="5"/>
        <v>199200000</v>
      </c>
      <c r="Y7" s="690">
        <f t="shared" si="5"/>
        <v>199200000</v>
      </c>
      <c r="AA7" s="690">
        <f t="shared" si="3"/>
        <v>5000000</v>
      </c>
      <c r="AB7" s="690">
        <f t="shared" si="3"/>
        <v>4000000</v>
      </c>
      <c r="AC7" s="690">
        <f t="shared" si="3"/>
        <v>4000000</v>
      </c>
      <c r="AD7" s="690">
        <f t="shared" si="3"/>
        <v>3000000</v>
      </c>
      <c r="AE7" s="690">
        <f t="shared" si="3"/>
        <v>3000000</v>
      </c>
      <c r="AF7" s="690">
        <f t="shared" si="3"/>
        <v>3000000</v>
      </c>
      <c r="AG7" s="40"/>
    </row>
    <row r="8" spans="1:33" s="41" customFormat="1" ht="54" customHeight="1">
      <c r="A8" s="905" t="s">
        <v>33</v>
      </c>
      <c r="B8" s="911" t="s">
        <v>38</v>
      </c>
      <c r="C8" s="912">
        <f t="shared" ref="C8:D8" si="6">C12+C27</f>
        <v>137052342.58000001</v>
      </c>
      <c r="D8" s="912">
        <f t="shared" si="6"/>
        <v>144296202.38</v>
      </c>
      <c r="E8" s="913">
        <f t="shared" ref="E8:AF8" si="7">E12+E27</f>
        <v>163224190</v>
      </c>
      <c r="F8" s="913">
        <f t="shared" ref="F8" si="8">F12+F27</f>
        <v>157223801.72999999</v>
      </c>
      <c r="G8" s="914">
        <f t="shared" si="7"/>
        <v>162855342.72999999</v>
      </c>
      <c r="H8" s="915">
        <f t="shared" si="7"/>
        <v>174797661.16</v>
      </c>
      <c r="I8" s="912">
        <f t="shared" si="7"/>
        <v>0</v>
      </c>
      <c r="J8" s="912">
        <f t="shared" si="7"/>
        <v>0</v>
      </c>
      <c r="K8" s="912">
        <f t="shared" si="7"/>
        <v>0</v>
      </c>
      <c r="L8" s="912">
        <f t="shared" si="7"/>
        <v>0</v>
      </c>
      <c r="M8" s="912">
        <f t="shared" si="7"/>
        <v>0</v>
      </c>
      <c r="N8" s="912">
        <f t="shared" si="7"/>
        <v>0</v>
      </c>
      <c r="O8" s="912">
        <f t="shared" si="7"/>
        <v>0</v>
      </c>
      <c r="P8" s="912">
        <f t="shared" si="7"/>
        <v>0</v>
      </c>
      <c r="Q8" s="912">
        <f t="shared" si="7"/>
        <v>0</v>
      </c>
      <c r="R8" s="912">
        <f t="shared" si="7"/>
        <v>0</v>
      </c>
      <c r="S8" s="912">
        <f t="shared" si="7"/>
        <v>0</v>
      </c>
      <c r="T8" s="912">
        <f t="shared" ref="T8:Y8" si="9">T12+T27</f>
        <v>0</v>
      </c>
      <c r="U8" s="912">
        <f t="shared" si="9"/>
        <v>0</v>
      </c>
      <c r="V8" s="912">
        <f t="shared" si="9"/>
        <v>0</v>
      </c>
      <c r="W8" s="691">
        <f t="shared" si="9"/>
        <v>3586216</v>
      </c>
      <c r="X8" s="691">
        <f t="shared" si="9"/>
        <v>3586216</v>
      </c>
      <c r="Y8" s="691">
        <f t="shared" si="9"/>
        <v>3093205</v>
      </c>
      <c r="AA8" s="691">
        <f t="shared" si="7"/>
        <v>9000000</v>
      </c>
      <c r="AB8" s="691">
        <f t="shared" si="7"/>
        <v>8000000</v>
      </c>
      <c r="AC8" s="691">
        <f t="shared" si="7"/>
        <v>8000000</v>
      </c>
      <c r="AD8" s="691">
        <f t="shared" si="7"/>
        <v>7000000</v>
      </c>
      <c r="AE8" s="691">
        <f t="shared" si="7"/>
        <v>7000000</v>
      </c>
      <c r="AF8" s="691">
        <f t="shared" si="7"/>
        <v>7000000</v>
      </c>
      <c r="AG8" s="40"/>
    </row>
    <row r="9" spans="1:33" s="41" customFormat="1" ht="44.25" customHeight="1" thickBot="1">
      <c r="A9" s="916" t="s">
        <v>34</v>
      </c>
      <c r="B9" s="917" t="s">
        <v>39</v>
      </c>
      <c r="C9" s="918">
        <f>C7-C8</f>
        <v>-5358933.3000000119</v>
      </c>
      <c r="D9" s="918">
        <f>D7-D8</f>
        <v>-9728814.8700000048</v>
      </c>
      <c r="E9" s="919">
        <f>E7-E8</f>
        <v>-6397533</v>
      </c>
      <c r="F9" s="919">
        <f>F7-F8</f>
        <v>-6603691.9899999797</v>
      </c>
      <c r="G9" s="920">
        <f t="shared" ref="G9:AF9" si="10">G7-G8</f>
        <v>-493564.72999998927</v>
      </c>
      <c r="H9" s="921">
        <f t="shared" si="10"/>
        <v>-2833166.3899999857</v>
      </c>
      <c r="I9" s="918">
        <f t="shared" si="10"/>
        <v>0</v>
      </c>
      <c r="J9" s="918">
        <f t="shared" si="10"/>
        <v>0</v>
      </c>
      <c r="K9" s="918">
        <f t="shared" si="10"/>
        <v>0</v>
      </c>
      <c r="L9" s="918">
        <f t="shared" si="10"/>
        <v>0</v>
      </c>
      <c r="M9" s="918">
        <f t="shared" si="10"/>
        <v>0</v>
      </c>
      <c r="N9" s="918">
        <f t="shared" si="10"/>
        <v>0</v>
      </c>
      <c r="O9" s="918">
        <f t="shared" si="10"/>
        <v>0</v>
      </c>
      <c r="P9" s="918">
        <f t="shared" si="10"/>
        <v>0</v>
      </c>
      <c r="Q9" s="918">
        <f t="shared" si="10"/>
        <v>0</v>
      </c>
      <c r="R9" s="918">
        <f t="shared" si="10"/>
        <v>0</v>
      </c>
      <c r="S9" s="918">
        <f t="shared" si="10"/>
        <v>0</v>
      </c>
      <c r="T9" s="918">
        <f t="shared" ref="T9:Y9" si="11">T7-T8</f>
        <v>0</v>
      </c>
      <c r="U9" s="918">
        <f t="shared" si="11"/>
        <v>0</v>
      </c>
      <c r="V9" s="918">
        <f t="shared" si="11"/>
        <v>0</v>
      </c>
      <c r="W9" s="692">
        <f t="shared" si="11"/>
        <v>195613784</v>
      </c>
      <c r="X9" s="692">
        <f t="shared" si="11"/>
        <v>195613784</v>
      </c>
      <c r="Y9" s="692">
        <f t="shared" si="11"/>
        <v>196106795</v>
      </c>
      <c r="AA9" s="692">
        <f t="shared" si="10"/>
        <v>-4000000</v>
      </c>
      <c r="AB9" s="692">
        <f t="shared" si="10"/>
        <v>-4000000</v>
      </c>
      <c r="AC9" s="692">
        <f t="shared" si="10"/>
        <v>-4000000</v>
      </c>
      <c r="AD9" s="692">
        <f t="shared" si="10"/>
        <v>-4000000</v>
      </c>
      <c r="AE9" s="692">
        <f t="shared" si="10"/>
        <v>-4000000</v>
      </c>
      <c r="AF9" s="692">
        <f t="shared" si="10"/>
        <v>-4000000</v>
      </c>
      <c r="AG9" s="40"/>
    </row>
    <row r="10" spans="1:33" s="8" customFormat="1" ht="9.9499999999999993" customHeight="1" thickTop="1" thickBot="1">
      <c r="A10" s="922"/>
      <c r="B10" s="923"/>
      <c r="C10" s="924"/>
      <c r="D10" s="924"/>
      <c r="E10" s="903"/>
      <c r="F10" s="903"/>
      <c r="G10" s="925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693"/>
      <c r="X10" s="693"/>
      <c r="Y10" s="787"/>
      <c r="Z10" s="12"/>
      <c r="AA10" s="693"/>
      <c r="AB10" s="693"/>
      <c r="AC10" s="693"/>
      <c r="AD10" s="693"/>
      <c r="AE10" s="693"/>
      <c r="AF10" s="693"/>
      <c r="AG10" s="12"/>
    </row>
    <row r="11" spans="1:33" s="9" customFormat="1" ht="59.25" customHeight="1" thickTop="1">
      <c r="A11" s="927" t="s">
        <v>14</v>
      </c>
      <c r="B11" s="928" t="s">
        <v>97</v>
      </c>
      <c r="C11" s="929">
        <v>124970449.63</v>
      </c>
      <c r="D11" s="929">
        <v>129769143.02</v>
      </c>
      <c r="E11" s="930">
        <v>139617113</v>
      </c>
      <c r="F11" s="930">
        <v>141122144.84</v>
      </c>
      <c r="G11" s="931">
        <v>144745343.03999999</v>
      </c>
      <c r="H11" s="1203">
        <v>151895608.09</v>
      </c>
      <c r="I11" s="932">
        <v>0</v>
      </c>
      <c r="J11" s="1208">
        <v>0</v>
      </c>
      <c r="K11" s="1208">
        <v>0</v>
      </c>
      <c r="L11" s="1208">
        <v>0</v>
      </c>
      <c r="M11" s="1208">
        <v>0</v>
      </c>
      <c r="N11" s="1208">
        <v>0</v>
      </c>
      <c r="O11" s="1208">
        <v>0</v>
      </c>
      <c r="P11" s="1208">
        <v>0</v>
      </c>
      <c r="Q11" s="1208">
        <v>0</v>
      </c>
      <c r="R11" s="1208">
        <v>0</v>
      </c>
      <c r="S11" s="1208">
        <v>0</v>
      </c>
      <c r="T11" s="1208">
        <v>0</v>
      </c>
      <c r="U11" s="1208">
        <v>0</v>
      </c>
      <c r="V11" s="1208">
        <v>0</v>
      </c>
      <c r="W11" s="694">
        <f t="shared" ref="W11:Y11" si="12">195700000+1500000</f>
        <v>197200000</v>
      </c>
      <c r="X11" s="694">
        <f t="shared" si="12"/>
        <v>197200000</v>
      </c>
      <c r="Y11" s="694">
        <f t="shared" si="12"/>
        <v>197200000</v>
      </c>
      <c r="AA11" s="694">
        <f>ROUND((T11+T11*2%),-5)</f>
        <v>0</v>
      </c>
      <c r="AB11" s="694">
        <f t="shared" ref="AB11" si="13">ROUND((AA11+AA11*2%),-5)</f>
        <v>0</v>
      </c>
      <c r="AC11" s="694">
        <f t="shared" ref="AC11" si="14">ROUND((AB11+AB11*2%),-5)</f>
        <v>0</v>
      </c>
      <c r="AD11" s="694">
        <f t="shared" ref="AD11" si="15">ROUND((AC11+AC11*2%),-5)</f>
        <v>0</v>
      </c>
      <c r="AE11" s="694">
        <f t="shared" ref="AE11" si="16">ROUND((AD11+AD11*2%),-5)</f>
        <v>0</v>
      </c>
      <c r="AF11" s="694">
        <f t="shared" ref="AF11" si="17">ROUND((AE11+AE11*2%),-5)</f>
        <v>0</v>
      </c>
    </row>
    <row r="12" spans="1:33" s="9" customFormat="1" ht="52.5" customHeight="1">
      <c r="A12" s="933" t="s">
        <v>15</v>
      </c>
      <c r="B12" s="934" t="s">
        <v>98</v>
      </c>
      <c r="C12" s="935">
        <v>126798813.76000001</v>
      </c>
      <c r="D12" s="935">
        <v>135215206.53999999</v>
      </c>
      <c r="E12" s="936">
        <v>139835646</v>
      </c>
      <c r="F12" s="936">
        <v>137382072.84999999</v>
      </c>
      <c r="G12" s="937">
        <v>146209917.31999999</v>
      </c>
      <c r="H12" s="1202">
        <v>157150486.68000001</v>
      </c>
      <c r="I12" s="938">
        <v>0</v>
      </c>
      <c r="J12" s="938">
        <v>0</v>
      </c>
      <c r="K12" s="938">
        <v>0</v>
      </c>
      <c r="L12" s="938">
        <v>0</v>
      </c>
      <c r="M12" s="938">
        <v>0</v>
      </c>
      <c r="N12" s="938">
        <v>0</v>
      </c>
      <c r="O12" s="938">
        <v>0</v>
      </c>
      <c r="P12" s="938">
        <v>0</v>
      </c>
      <c r="Q12" s="938">
        <v>0</v>
      </c>
      <c r="R12" s="938">
        <v>0</v>
      </c>
      <c r="S12" s="938">
        <v>0</v>
      </c>
      <c r="T12" s="938">
        <v>0</v>
      </c>
      <c r="U12" s="938">
        <v>0</v>
      </c>
      <c r="V12" s="938">
        <f>ROUND((U12+U12*2%),-5)</f>
        <v>0</v>
      </c>
      <c r="W12" s="695">
        <f>ROUND((V12+V12*0%),-5)</f>
        <v>0</v>
      </c>
      <c r="X12" s="695">
        <f>ROUND((W12+W12*0%),-5)</f>
        <v>0</v>
      </c>
      <c r="Y12" s="695">
        <f>ROUND((X12+X12*0.5%),-5)</f>
        <v>0</v>
      </c>
      <c r="AA12" s="695">
        <f>ROUND((T12+T12*2.05%),-5)</f>
        <v>0</v>
      </c>
      <c r="AB12" s="695">
        <f t="shared" ref="AB12:AF12" si="18">ROUND((AA12+AA12*2.05%),-5)</f>
        <v>0</v>
      </c>
      <c r="AC12" s="695">
        <f t="shared" si="18"/>
        <v>0</v>
      </c>
      <c r="AD12" s="695">
        <f t="shared" si="18"/>
        <v>0</v>
      </c>
      <c r="AE12" s="695">
        <f t="shared" si="18"/>
        <v>0</v>
      </c>
      <c r="AF12" s="695">
        <f t="shared" si="18"/>
        <v>0</v>
      </c>
      <c r="AG12" s="13"/>
    </row>
    <row r="13" spans="1:33" s="9" customFormat="1" ht="35.25" hidden="1" customHeight="1">
      <c r="A13" s="939" t="s">
        <v>16</v>
      </c>
      <c r="B13" s="940" t="s">
        <v>25</v>
      </c>
      <c r="C13" s="941"/>
      <c r="D13" s="941"/>
      <c r="E13" s="942">
        <v>67396083</v>
      </c>
      <c r="F13" s="942">
        <v>66257619.869999997</v>
      </c>
      <c r="G13" s="943">
        <v>0</v>
      </c>
      <c r="H13" s="941">
        <v>65712804</v>
      </c>
      <c r="I13" s="944">
        <v>67449826</v>
      </c>
      <c r="J13" s="944">
        <v>69473320</v>
      </c>
      <c r="K13" s="944">
        <v>71557519</v>
      </c>
      <c r="L13" s="944">
        <v>0</v>
      </c>
      <c r="M13" s="944">
        <v>0</v>
      </c>
      <c r="N13" s="944">
        <f t="shared" ref="N13:R13" si="19">INT(M13+(M13*3%))</f>
        <v>0</v>
      </c>
      <c r="O13" s="944">
        <f t="shared" si="19"/>
        <v>0</v>
      </c>
      <c r="P13" s="944">
        <f t="shared" si="19"/>
        <v>0</v>
      </c>
      <c r="Q13" s="944">
        <f t="shared" si="19"/>
        <v>0</v>
      </c>
      <c r="R13" s="944">
        <f t="shared" si="19"/>
        <v>0</v>
      </c>
      <c r="S13" s="945">
        <f t="shared" ref="S13:AF13" si="20">INT(R13+(R13*1%))</f>
        <v>0</v>
      </c>
      <c r="T13" s="945">
        <f t="shared" ref="T13:Y15" si="21">INT(S13+(S13*1%))</f>
        <v>0</v>
      </c>
      <c r="U13" s="945">
        <f t="shared" si="21"/>
        <v>0</v>
      </c>
      <c r="V13" s="945">
        <f t="shared" si="21"/>
        <v>0</v>
      </c>
      <c r="W13" s="698">
        <f t="shared" si="21"/>
        <v>0</v>
      </c>
      <c r="X13" s="698">
        <f t="shared" si="21"/>
        <v>0</v>
      </c>
      <c r="Y13" s="698">
        <f t="shared" si="21"/>
        <v>0</v>
      </c>
      <c r="AA13" s="698">
        <f>INT(T13+(T13*1%))</f>
        <v>0</v>
      </c>
      <c r="AB13" s="698">
        <f t="shared" si="20"/>
        <v>0</v>
      </c>
      <c r="AC13" s="698">
        <f t="shared" si="20"/>
        <v>0</v>
      </c>
      <c r="AD13" s="698">
        <f t="shared" si="20"/>
        <v>0</v>
      </c>
      <c r="AE13" s="698">
        <f t="shared" si="20"/>
        <v>0</v>
      </c>
      <c r="AF13" s="698">
        <f t="shared" si="20"/>
        <v>0</v>
      </c>
      <c r="AG13" s="13"/>
    </row>
    <row r="14" spans="1:33" s="9" customFormat="1" ht="30.75" hidden="1" customHeight="1">
      <c r="A14" s="939" t="s">
        <v>17</v>
      </c>
      <c r="B14" s="940" t="s">
        <v>24</v>
      </c>
      <c r="C14" s="941"/>
      <c r="D14" s="941"/>
      <c r="E14" s="942">
        <v>11467793</v>
      </c>
      <c r="F14" s="942">
        <v>11349535.460000001</v>
      </c>
      <c r="G14" s="943">
        <v>0</v>
      </c>
      <c r="H14" s="941">
        <v>14058166</v>
      </c>
      <c r="I14" s="944">
        <v>14291389</v>
      </c>
      <c r="J14" s="944">
        <v>14577217</v>
      </c>
      <c r="K14" s="944">
        <v>14868761</v>
      </c>
      <c r="L14" s="944">
        <v>0</v>
      </c>
      <c r="M14" s="944">
        <v>0</v>
      </c>
      <c r="N14" s="944">
        <f t="shared" ref="N14:R14" si="22">INT(M14+(M14*3%))</f>
        <v>0</v>
      </c>
      <c r="O14" s="944">
        <f t="shared" si="22"/>
        <v>0</v>
      </c>
      <c r="P14" s="944">
        <f t="shared" si="22"/>
        <v>0</v>
      </c>
      <c r="Q14" s="944">
        <f t="shared" si="22"/>
        <v>0</v>
      </c>
      <c r="R14" s="944">
        <f t="shared" si="22"/>
        <v>0</v>
      </c>
      <c r="S14" s="945">
        <f t="shared" ref="S14:AF14" si="23">INT(R14+(R14*1%))</f>
        <v>0</v>
      </c>
      <c r="T14" s="945">
        <f t="shared" si="21"/>
        <v>0</v>
      </c>
      <c r="U14" s="945">
        <f t="shared" si="21"/>
        <v>0</v>
      </c>
      <c r="V14" s="945">
        <f t="shared" si="21"/>
        <v>0</v>
      </c>
      <c r="W14" s="698">
        <f t="shared" si="21"/>
        <v>0</v>
      </c>
      <c r="X14" s="698">
        <f t="shared" si="21"/>
        <v>0</v>
      </c>
      <c r="Y14" s="698">
        <f t="shared" si="21"/>
        <v>0</v>
      </c>
      <c r="AA14" s="698">
        <f>INT(T14+(T14*1%))</f>
        <v>0</v>
      </c>
      <c r="AB14" s="698">
        <f t="shared" si="23"/>
        <v>0</v>
      </c>
      <c r="AC14" s="698">
        <f t="shared" si="23"/>
        <v>0</v>
      </c>
      <c r="AD14" s="698">
        <f t="shared" si="23"/>
        <v>0</v>
      </c>
      <c r="AE14" s="698">
        <f t="shared" si="23"/>
        <v>0</v>
      </c>
      <c r="AF14" s="698">
        <f t="shared" si="23"/>
        <v>0</v>
      </c>
      <c r="AG14" s="13"/>
    </row>
    <row r="15" spans="1:33" s="10" customFormat="1" ht="35.25" hidden="1" customHeight="1">
      <c r="A15" s="939" t="s">
        <v>73</v>
      </c>
      <c r="B15" s="946" t="s">
        <v>74</v>
      </c>
      <c r="C15" s="947"/>
      <c r="D15" s="947"/>
      <c r="E15" s="942">
        <v>8103300</v>
      </c>
      <c r="F15" s="942">
        <v>8132962.0800000001</v>
      </c>
      <c r="G15" s="943">
        <v>0</v>
      </c>
      <c r="H15" s="941">
        <v>0</v>
      </c>
      <c r="I15" s="944">
        <f t="shared" ref="I15:R15" si="24">INT(H15+(H15*3%))</f>
        <v>0</v>
      </c>
      <c r="J15" s="944">
        <f t="shared" si="24"/>
        <v>0</v>
      </c>
      <c r="K15" s="944">
        <f t="shared" si="24"/>
        <v>0</v>
      </c>
      <c r="L15" s="944">
        <f t="shared" si="24"/>
        <v>0</v>
      </c>
      <c r="M15" s="944">
        <f t="shared" si="24"/>
        <v>0</v>
      </c>
      <c r="N15" s="944">
        <f t="shared" si="24"/>
        <v>0</v>
      </c>
      <c r="O15" s="944">
        <f t="shared" si="24"/>
        <v>0</v>
      </c>
      <c r="P15" s="944">
        <f t="shared" si="24"/>
        <v>0</v>
      </c>
      <c r="Q15" s="944">
        <f t="shared" si="24"/>
        <v>0</v>
      </c>
      <c r="R15" s="944">
        <f t="shared" si="24"/>
        <v>0</v>
      </c>
      <c r="S15" s="945">
        <f t="shared" ref="S15:AF15" si="25">INT(R15+(R15*1%))</f>
        <v>0</v>
      </c>
      <c r="T15" s="945">
        <f t="shared" si="21"/>
        <v>0</v>
      </c>
      <c r="U15" s="945">
        <f t="shared" si="21"/>
        <v>0</v>
      </c>
      <c r="V15" s="945">
        <f t="shared" si="21"/>
        <v>0</v>
      </c>
      <c r="W15" s="698">
        <f t="shared" si="21"/>
        <v>0</v>
      </c>
      <c r="X15" s="698">
        <f t="shared" si="21"/>
        <v>0</v>
      </c>
      <c r="Y15" s="698">
        <f t="shared" si="21"/>
        <v>0</v>
      </c>
      <c r="AA15" s="698">
        <f>INT(T15+(T15*1%))</f>
        <v>0</v>
      </c>
      <c r="AB15" s="698">
        <f t="shared" si="25"/>
        <v>0</v>
      </c>
      <c r="AC15" s="698">
        <f t="shared" si="25"/>
        <v>0</v>
      </c>
      <c r="AD15" s="698">
        <f t="shared" si="25"/>
        <v>0</v>
      </c>
      <c r="AE15" s="698">
        <f t="shared" si="25"/>
        <v>0</v>
      </c>
      <c r="AF15" s="698">
        <f t="shared" si="25"/>
        <v>0</v>
      </c>
      <c r="AG15" s="14"/>
    </row>
    <row r="16" spans="1:33" s="9" customFormat="1" ht="93.75" customHeight="1">
      <c r="A16" s="939" t="s">
        <v>18</v>
      </c>
      <c r="B16" s="1251" t="s">
        <v>543</v>
      </c>
      <c r="C16" s="941"/>
      <c r="D16" s="941"/>
      <c r="E16" s="942">
        <v>1727147</v>
      </c>
      <c r="F16" s="948">
        <v>1494404.23</v>
      </c>
      <c r="G16" s="943">
        <v>0</v>
      </c>
      <c r="H16" s="943">
        <f>'Przeds bieżace  styczeń 2013 '!P325</f>
        <v>13874679.699999999</v>
      </c>
      <c r="I16" s="943">
        <v>0</v>
      </c>
      <c r="J16" s="943">
        <v>0</v>
      </c>
      <c r="K16" s="943">
        <v>0</v>
      </c>
      <c r="L16" s="943">
        <v>0</v>
      </c>
      <c r="M16" s="943">
        <v>0</v>
      </c>
      <c r="N16" s="943">
        <v>0</v>
      </c>
      <c r="O16" s="943">
        <v>0</v>
      </c>
      <c r="P16" s="943">
        <v>0</v>
      </c>
      <c r="Q16" s="943">
        <v>0</v>
      </c>
      <c r="R16" s="943">
        <f>'Przeds bieżace  styczeń 2013 '!Z325</f>
        <v>0</v>
      </c>
      <c r="S16" s="943">
        <f>'Przeds bieżace  styczeń 2013 '!AA325</f>
        <v>0</v>
      </c>
      <c r="T16" s="943">
        <f>'Przeds bieżace  styczeń 2013 '!AB325</f>
        <v>0</v>
      </c>
      <c r="U16" s="945"/>
      <c r="V16" s="945"/>
      <c r="W16" s="698"/>
      <c r="X16" s="698"/>
      <c r="Y16" s="698"/>
      <c r="AA16" s="698"/>
      <c r="AB16" s="698"/>
      <c r="AC16" s="698"/>
      <c r="AD16" s="698"/>
      <c r="AE16" s="698"/>
      <c r="AF16" s="698"/>
      <c r="AG16" s="13"/>
    </row>
    <row r="17" spans="1:33" s="41" customFormat="1" ht="54.75" customHeight="1">
      <c r="A17" s="949" t="s">
        <v>19</v>
      </c>
      <c r="B17" s="950" t="s">
        <v>75</v>
      </c>
      <c r="C17" s="951"/>
      <c r="D17" s="951"/>
      <c r="E17" s="952">
        <f>SUM(E18)</f>
        <v>3405000</v>
      </c>
      <c r="F17" s="952">
        <f>SUM(F18)</f>
        <v>2464011.77</v>
      </c>
      <c r="G17" s="953">
        <f>G18</f>
        <v>1593922.62</v>
      </c>
      <c r="H17" s="954">
        <f t="shared" ref="H17:M17" si="26">H18</f>
        <v>1521944.7599999998</v>
      </c>
      <c r="I17" s="955">
        <v>0</v>
      </c>
      <c r="J17" s="955">
        <v>0</v>
      </c>
      <c r="K17" s="955">
        <v>0</v>
      </c>
      <c r="L17" s="955">
        <v>0</v>
      </c>
      <c r="M17" s="955">
        <f t="shared" si="26"/>
        <v>0</v>
      </c>
      <c r="N17" s="955">
        <v>0</v>
      </c>
      <c r="O17" s="955">
        <v>0</v>
      </c>
      <c r="P17" s="955">
        <v>0</v>
      </c>
      <c r="Q17" s="955">
        <v>0</v>
      </c>
      <c r="R17" s="955">
        <v>0</v>
      </c>
      <c r="S17" s="955">
        <v>0</v>
      </c>
      <c r="T17" s="955">
        <v>0</v>
      </c>
      <c r="U17" s="955">
        <v>0</v>
      </c>
      <c r="V17" s="955">
        <f t="shared" ref="V17:Y17" si="27">V18</f>
        <v>0</v>
      </c>
      <c r="W17" s="699">
        <f t="shared" si="27"/>
        <v>0</v>
      </c>
      <c r="X17" s="699">
        <f t="shared" si="27"/>
        <v>0</v>
      </c>
      <c r="Y17" s="699">
        <f t="shared" si="27"/>
        <v>0</v>
      </c>
      <c r="AA17" s="697"/>
      <c r="AB17" s="697"/>
      <c r="AC17" s="697"/>
      <c r="AD17" s="697"/>
      <c r="AE17" s="697"/>
      <c r="AF17" s="697"/>
      <c r="AG17" s="40"/>
    </row>
    <row r="18" spans="1:33" s="10" customFormat="1" ht="154.5" customHeight="1">
      <c r="A18" s="939" t="s">
        <v>20</v>
      </c>
      <c r="B18" s="1252" t="s">
        <v>542</v>
      </c>
      <c r="C18" s="947"/>
      <c r="D18" s="947"/>
      <c r="E18" s="942">
        <v>3405000</v>
      </c>
      <c r="F18" s="942">
        <v>2464011.77</v>
      </c>
      <c r="G18" s="956">
        <v>1593922.62</v>
      </c>
      <c r="H18" s="956">
        <f>'Przeds Poręczenia'!Q100-1724219</f>
        <v>1521944.7599999998</v>
      </c>
      <c r="I18" s="956">
        <v>0</v>
      </c>
      <c r="J18" s="956">
        <v>0</v>
      </c>
      <c r="K18" s="956">
        <v>0</v>
      </c>
      <c r="L18" s="956">
        <v>0</v>
      </c>
      <c r="M18" s="956">
        <v>0</v>
      </c>
      <c r="N18" s="956">
        <v>0</v>
      </c>
      <c r="O18" s="956">
        <v>0</v>
      </c>
      <c r="P18" s="956">
        <v>0</v>
      </c>
      <c r="Q18" s="956">
        <v>0</v>
      </c>
      <c r="R18" s="956">
        <v>0</v>
      </c>
      <c r="S18" s="944">
        <f>'poreczenia nieaktualne'!AB96</f>
        <v>0</v>
      </c>
      <c r="T18" s="944">
        <f>'poreczenia nieaktualne'!AC96</f>
        <v>0</v>
      </c>
      <c r="U18" s="944">
        <f>'poreczenia nieaktualne'!AD96</f>
        <v>0</v>
      </c>
      <c r="V18" s="944">
        <f>'poreczenia nieaktualne'!AE96</f>
        <v>0</v>
      </c>
      <c r="W18" s="697">
        <f>'poreczenia nieaktualne'!AF96</f>
        <v>0</v>
      </c>
      <c r="X18" s="697">
        <f>'poreczenia nieaktualne'!AG96</f>
        <v>0</v>
      </c>
      <c r="Y18" s="697">
        <f>'poreczenia nieaktualne'!AH96</f>
        <v>0</v>
      </c>
      <c r="AA18" s="698"/>
      <c r="AB18" s="698"/>
      <c r="AC18" s="698"/>
      <c r="AD18" s="698"/>
      <c r="AE18" s="698"/>
      <c r="AF18" s="698"/>
      <c r="AG18" s="792"/>
    </row>
    <row r="19" spans="1:33" s="41" customFormat="1" ht="40.5" customHeight="1" thickBot="1">
      <c r="A19" s="949" t="s">
        <v>21</v>
      </c>
      <c r="B19" s="950" t="s">
        <v>76</v>
      </c>
      <c r="C19" s="951"/>
      <c r="D19" s="951"/>
      <c r="E19" s="952">
        <v>1915800</v>
      </c>
      <c r="F19" s="952">
        <v>2146148.5499999998</v>
      </c>
      <c r="G19" s="957">
        <v>2769378.99</v>
      </c>
      <c r="H19" s="958">
        <v>3089820.61</v>
      </c>
      <c r="I19" s="959">
        <v>0</v>
      </c>
      <c r="J19" s="959">
        <v>0</v>
      </c>
      <c r="K19" s="959">
        <v>0</v>
      </c>
      <c r="L19" s="959">
        <v>0</v>
      </c>
      <c r="M19" s="959">
        <v>0</v>
      </c>
      <c r="N19" s="959">
        <v>0</v>
      </c>
      <c r="O19" s="959">
        <v>0</v>
      </c>
      <c r="P19" s="959">
        <v>0</v>
      </c>
      <c r="Q19" s="959">
        <v>0</v>
      </c>
      <c r="R19" s="959">
        <v>0</v>
      </c>
      <c r="S19" s="959">
        <v>0</v>
      </c>
      <c r="T19" s="959">
        <v>0</v>
      </c>
      <c r="U19" s="959">
        <v>0</v>
      </c>
      <c r="V19" s="959">
        <v>0</v>
      </c>
      <c r="W19" s="700">
        <f>'Planowane spłaty zobowiązań'!V39</f>
        <v>0</v>
      </c>
      <c r="X19" s="700">
        <f>'Planowane spłaty zobowiązań'!W39</f>
        <v>0</v>
      </c>
      <c r="Y19" s="700">
        <f>'Planowane spłaty zobowiązań'!X39</f>
        <v>0</v>
      </c>
      <c r="AA19" s="697"/>
      <c r="AB19" s="697"/>
      <c r="AC19" s="697"/>
      <c r="AD19" s="697"/>
      <c r="AE19" s="697"/>
      <c r="AF19" s="697"/>
      <c r="AG19" s="40"/>
    </row>
    <row r="20" spans="1:33" s="3" customFormat="1" ht="87" customHeight="1" thickTop="1" thickBot="1">
      <c r="A20" s="939" t="s">
        <v>416</v>
      </c>
      <c r="B20" s="960" t="s">
        <v>425</v>
      </c>
      <c r="C20" s="961"/>
      <c r="D20" s="961"/>
      <c r="E20" s="961"/>
      <c r="F20" s="961"/>
      <c r="G20" s="962">
        <f>2769347.65</f>
        <v>2769347.65</v>
      </c>
      <c r="H20" s="962">
        <f>737691+1400530+1175544+542309</f>
        <v>3856074</v>
      </c>
      <c r="I20" s="962">
        <v>0</v>
      </c>
      <c r="J20" s="962">
        <v>0</v>
      </c>
      <c r="K20" s="962">
        <v>0</v>
      </c>
      <c r="L20" s="962">
        <v>0</v>
      </c>
      <c r="M20" s="962">
        <v>0</v>
      </c>
      <c r="N20" s="962">
        <v>0</v>
      </c>
      <c r="O20" s="962">
        <v>0</v>
      </c>
      <c r="P20" s="962">
        <v>0</v>
      </c>
      <c r="Q20" s="962">
        <v>0</v>
      </c>
      <c r="R20" s="962"/>
      <c r="S20" s="962"/>
      <c r="T20" s="962"/>
      <c r="U20" s="962"/>
      <c r="V20" s="962"/>
      <c r="W20" s="702"/>
      <c r="X20" s="702"/>
      <c r="Y20" s="703"/>
      <c r="Z20" s="13"/>
      <c r="AA20" s="702"/>
      <c r="AB20" s="702"/>
      <c r="AC20" s="702"/>
      <c r="AD20" s="702"/>
      <c r="AE20" s="702"/>
      <c r="AF20" s="702"/>
      <c r="AG20" s="13"/>
    </row>
    <row r="21" spans="1:33" s="9" customFormat="1" ht="69" customHeight="1" thickTop="1">
      <c r="A21" s="1128" t="s">
        <v>22</v>
      </c>
      <c r="B21" s="1124" t="s">
        <v>23</v>
      </c>
      <c r="C21" s="1129">
        <f t="shared" ref="C21:D21" si="28">C11-C12</f>
        <v>-1828364.1300000101</v>
      </c>
      <c r="D21" s="1129">
        <f t="shared" si="28"/>
        <v>-5446063.5199999958</v>
      </c>
      <c r="E21" s="1130">
        <f>E11-E12</f>
        <v>-218533</v>
      </c>
      <c r="F21" s="1130">
        <f>F11-F12</f>
        <v>3740071.9900000095</v>
      </c>
      <c r="G21" s="1131">
        <f t="shared" ref="G21:AF21" si="29">G11-G12</f>
        <v>-1464574.2800000012</v>
      </c>
      <c r="H21" s="1132">
        <f t="shared" si="29"/>
        <v>-5254878.5900000036</v>
      </c>
      <c r="I21" s="1129">
        <f t="shared" si="29"/>
        <v>0</v>
      </c>
      <c r="J21" s="1129">
        <f t="shared" si="29"/>
        <v>0</v>
      </c>
      <c r="K21" s="1129">
        <f t="shared" si="29"/>
        <v>0</v>
      </c>
      <c r="L21" s="1129">
        <f t="shared" si="29"/>
        <v>0</v>
      </c>
      <c r="M21" s="1129">
        <f t="shared" si="29"/>
        <v>0</v>
      </c>
      <c r="N21" s="1129">
        <f t="shared" si="29"/>
        <v>0</v>
      </c>
      <c r="O21" s="1129">
        <f t="shared" si="29"/>
        <v>0</v>
      </c>
      <c r="P21" s="1129">
        <f t="shared" si="29"/>
        <v>0</v>
      </c>
      <c r="Q21" s="1129">
        <f t="shared" si="29"/>
        <v>0</v>
      </c>
      <c r="R21" s="1129">
        <f t="shared" si="29"/>
        <v>0</v>
      </c>
      <c r="S21" s="1129">
        <f t="shared" si="29"/>
        <v>0</v>
      </c>
      <c r="T21" s="1129">
        <f t="shared" ref="T21:Y21" si="30">T11-T12</f>
        <v>0</v>
      </c>
      <c r="U21" s="1129">
        <f t="shared" si="30"/>
        <v>0</v>
      </c>
      <c r="V21" s="1129">
        <f t="shared" si="30"/>
        <v>0</v>
      </c>
      <c r="W21" s="704">
        <f t="shared" si="30"/>
        <v>197200000</v>
      </c>
      <c r="X21" s="704">
        <f t="shared" si="30"/>
        <v>197200000</v>
      </c>
      <c r="Y21" s="704">
        <f t="shared" si="30"/>
        <v>197200000</v>
      </c>
      <c r="Z21" s="13"/>
      <c r="AA21" s="705">
        <f t="shared" si="29"/>
        <v>0</v>
      </c>
      <c r="AB21" s="704">
        <f t="shared" si="29"/>
        <v>0</v>
      </c>
      <c r="AC21" s="704">
        <f t="shared" si="29"/>
        <v>0</v>
      </c>
      <c r="AD21" s="704">
        <f t="shared" si="29"/>
        <v>0</v>
      </c>
      <c r="AE21" s="704">
        <f t="shared" si="29"/>
        <v>0</v>
      </c>
      <c r="AF21" s="704">
        <f t="shared" si="29"/>
        <v>0</v>
      </c>
      <c r="AG21" s="13"/>
    </row>
    <row r="22" spans="1:33" s="9" customFormat="1" ht="68.25" customHeight="1">
      <c r="A22" s="963"/>
      <c r="B22" s="1133" t="s">
        <v>547</v>
      </c>
      <c r="C22" s="1127"/>
      <c r="D22" s="1127"/>
      <c r="E22" s="1127"/>
      <c r="F22" s="1127"/>
      <c r="G22" s="1127"/>
      <c r="H22" s="1127">
        <f>H21+H20</f>
        <v>-1398804.5900000036</v>
      </c>
      <c r="I22" s="1127">
        <f t="shared" ref="I22:J22" si="31">I21+I20</f>
        <v>0</v>
      </c>
      <c r="J22" s="1127">
        <f t="shared" si="31"/>
        <v>0</v>
      </c>
      <c r="K22" s="1127"/>
      <c r="L22" s="1127"/>
      <c r="M22" s="1127"/>
      <c r="N22" s="1127"/>
      <c r="O22" s="1127"/>
      <c r="P22" s="1127"/>
      <c r="Q22" s="1127"/>
      <c r="R22" s="1127"/>
      <c r="S22" s="1127"/>
      <c r="T22" s="1127"/>
      <c r="U22" s="1127"/>
      <c r="V22" s="1127"/>
      <c r="W22" s="1123"/>
      <c r="X22" s="1123"/>
      <c r="Y22" s="705"/>
      <c r="Z22" s="13"/>
      <c r="AA22" s="1123"/>
      <c r="AB22" s="1123"/>
      <c r="AC22" s="1123"/>
      <c r="AD22" s="1123"/>
      <c r="AE22" s="1123"/>
      <c r="AF22" s="1123"/>
      <c r="AG22" s="13"/>
    </row>
    <row r="23" spans="1:33" s="9" customFormat="1" ht="90.75" customHeight="1">
      <c r="A23" s="963"/>
      <c r="B23" s="1133" t="s">
        <v>548</v>
      </c>
      <c r="C23" s="1127"/>
      <c r="D23" s="1127"/>
      <c r="E23" s="1127"/>
      <c r="F23" s="1127"/>
      <c r="G23" s="1127"/>
      <c r="H23" s="1127">
        <f>H21+H20+H54</f>
        <v>1631924.6399999964</v>
      </c>
      <c r="I23" s="1127">
        <v>0</v>
      </c>
      <c r="J23" s="1127">
        <f>J22+J54</f>
        <v>0</v>
      </c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3"/>
      <c r="X23" s="1123"/>
      <c r="Y23" s="705"/>
      <c r="Z23" s="13"/>
      <c r="AA23" s="1123"/>
      <c r="AB23" s="1123"/>
      <c r="AC23" s="1123"/>
      <c r="AD23" s="1123"/>
      <c r="AE23" s="1123"/>
      <c r="AF23" s="1123"/>
      <c r="AG23" s="13"/>
    </row>
    <row r="24" spans="1:33" s="2" customFormat="1" ht="15.75" customHeight="1" thickBot="1">
      <c r="A24" s="1125"/>
      <c r="B24" s="1126"/>
      <c r="C24" s="961"/>
      <c r="D24" s="961"/>
      <c r="E24" s="961"/>
      <c r="F24" s="961"/>
      <c r="G24" s="967"/>
      <c r="H24" s="961"/>
      <c r="I24" s="961"/>
      <c r="J24" s="961"/>
      <c r="K24" s="961"/>
      <c r="L24" s="961"/>
      <c r="M24" s="961"/>
      <c r="N24" s="961"/>
      <c r="O24" s="961"/>
      <c r="P24" s="961"/>
      <c r="Q24" s="961"/>
      <c r="R24" s="961"/>
      <c r="S24" s="961"/>
      <c r="T24" s="961"/>
      <c r="U24" s="961"/>
      <c r="V24" s="961"/>
      <c r="W24" s="706"/>
      <c r="X24" s="706"/>
      <c r="Y24" s="711"/>
      <c r="Z24" s="13"/>
      <c r="AA24" s="706"/>
      <c r="AB24" s="706"/>
      <c r="AC24" s="706"/>
      <c r="AD24" s="706"/>
      <c r="AE24" s="706"/>
      <c r="AF24" s="706"/>
      <c r="AG24" s="13"/>
    </row>
    <row r="25" spans="1:33" s="2" customFormat="1" ht="54" customHeight="1" thickTop="1">
      <c r="A25" s="968" t="s">
        <v>26</v>
      </c>
      <c r="B25" s="969" t="s">
        <v>27</v>
      </c>
      <c r="C25" s="970">
        <v>6722959.6500000004</v>
      </c>
      <c r="D25" s="970">
        <v>4798244.49</v>
      </c>
      <c r="E25" s="971">
        <v>17209544</v>
      </c>
      <c r="F25" s="971">
        <v>9497964.9000000004</v>
      </c>
      <c r="G25" s="972">
        <v>17616434.960000001</v>
      </c>
      <c r="H25" s="970">
        <v>20068886.68</v>
      </c>
      <c r="I25" s="973">
        <v>0</v>
      </c>
      <c r="J25" s="973">
        <v>0</v>
      </c>
      <c r="K25" s="973">
        <v>0</v>
      </c>
      <c r="L25" s="973">
        <v>0</v>
      </c>
      <c r="M25" s="973">
        <v>0</v>
      </c>
      <c r="N25" s="973">
        <v>0</v>
      </c>
      <c r="O25" s="973">
        <v>0</v>
      </c>
      <c r="P25" s="973">
        <v>0</v>
      </c>
      <c r="Q25" s="973">
        <v>0</v>
      </c>
      <c r="R25" s="973">
        <v>0</v>
      </c>
      <c r="S25" s="973">
        <v>0</v>
      </c>
      <c r="T25" s="973">
        <v>0</v>
      </c>
      <c r="U25" s="973">
        <v>0</v>
      </c>
      <c r="V25" s="973">
        <v>0</v>
      </c>
      <c r="W25" s="708">
        <v>2000000</v>
      </c>
      <c r="X25" s="708">
        <v>2000000</v>
      </c>
      <c r="Y25" s="708">
        <v>2000000</v>
      </c>
      <c r="Z25" s="13"/>
      <c r="AA25" s="707">
        <v>5000000</v>
      </c>
      <c r="AB25" s="708">
        <v>4000000</v>
      </c>
      <c r="AC25" s="708">
        <v>4000000</v>
      </c>
      <c r="AD25" s="708">
        <v>3000000</v>
      </c>
      <c r="AE25" s="708">
        <v>3000000</v>
      </c>
      <c r="AF25" s="708">
        <v>3000000</v>
      </c>
      <c r="AG25" s="13"/>
    </row>
    <row r="26" spans="1:33" s="9" customFormat="1" ht="57.75" customHeight="1">
      <c r="A26" s="974" t="s">
        <v>28</v>
      </c>
      <c r="B26" s="975" t="s">
        <v>83</v>
      </c>
      <c r="C26" s="976">
        <v>5454979.4699999997</v>
      </c>
      <c r="D26" s="976">
        <v>4633721.28</v>
      </c>
      <c r="E26" s="977">
        <v>9371315</v>
      </c>
      <c r="F26" s="977">
        <v>3915577.63</v>
      </c>
      <c r="G26" s="978">
        <v>7399706.7599999998</v>
      </c>
      <c r="H26" s="1204">
        <v>13482148.18</v>
      </c>
      <c r="I26" s="979">
        <v>0</v>
      </c>
      <c r="J26" s="979">
        <v>0</v>
      </c>
      <c r="K26" s="979">
        <v>0</v>
      </c>
      <c r="L26" s="979">
        <v>0</v>
      </c>
      <c r="M26" s="979">
        <v>0</v>
      </c>
      <c r="N26" s="979">
        <v>0</v>
      </c>
      <c r="O26" s="979">
        <v>0</v>
      </c>
      <c r="P26" s="979">
        <v>0</v>
      </c>
      <c r="Q26" s="979">
        <v>0</v>
      </c>
      <c r="R26" s="979">
        <v>0</v>
      </c>
      <c r="S26" s="979">
        <v>0</v>
      </c>
      <c r="T26" s="979">
        <v>0</v>
      </c>
      <c r="U26" s="979">
        <v>0</v>
      </c>
      <c r="V26" s="979">
        <v>0</v>
      </c>
      <c r="W26" s="709">
        <v>2000000</v>
      </c>
      <c r="X26" s="709">
        <v>2000000</v>
      </c>
      <c r="Y26" s="709">
        <v>2000000</v>
      </c>
      <c r="AA26" s="709">
        <v>2000000</v>
      </c>
      <c r="AB26" s="709">
        <v>1000000</v>
      </c>
      <c r="AC26" s="709">
        <v>1000000</v>
      </c>
      <c r="AD26" s="709">
        <v>0</v>
      </c>
      <c r="AE26" s="709">
        <v>0</v>
      </c>
      <c r="AF26" s="709">
        <v>0</v>
      </c>
      <c r="AG26" s="13"/>
    </row>
    <row r="27" spans="1:33" s="9" customFormat="1" ht="36.75" customHeight="1">
      <c r="A27" s="980" t="s">
        <v>29</v>
      </c>
      <c r="B27" s="981" t="s">
        <v>35</v>
      </c>
      <c r="C27" s="982">
        <v>10253528.82</v>
      </c>
      <c r="D27" s="982">
        <v>9080995.8399999999</v>
      </c>
      <c r="E27" s="983">
        <v>23388544</v>
      </c>
      <c r="F27" s="983">
        <v>19841728.879999999</v>
      </c>
      <c r="G27" s="984">
        <v>16645425.41</v>
      </c>
      <c r="H27" s="982">
        <v>17647174.48</v>
      </c>
      <c r="I27" s="1206">
        <v>0</v>
      </c>
      <c r="J27" s="985">
        <v>0</v>
      </c>
      <c r="K27" s="985">
        <v>0</v>
      </c>
      <c r="L27" s="985">
        <v>0</v>
      </c>
      <c r="M27" s="985">
        <v>0</v>
      </c>
      <c r="N27" s="985">
        <v>0</v>
      </c>
      <c r="O27" s="985">
        <v>0</v>
      </c>
      <c r="P27" s="985">
        <v>0</v>
      </c>
      <c r="Q27" s="985">
        <v>0</v>
      </c>
      <c r="R27" s="985">
        <v>0</v>
      </c>
      <c r="S27" s="985">
        <v>0</v>
      </c>
      <c r="T27" s="985">
        <v>0</v>
      </c>
      <c r="U27" s="985">
        <v>0</v>
      </c>
      <c r="V27" s="985">
        <v>0</v>
      </c>
      <c r="W27" s="710">
        <v>3586216</v>
      </c>
      <c r="X27" s="710">
        <v>3586216</v>
      </c>
      <c r="Y27" s="710">
        <v>3093205</v>
      </c>
      <c r="AA27" s="710">
        <v>9000000</v>
      </c>
      <c r="AB27" s="710">
        <v>8000000</v>
      </c>
      <c r="AC27" s="710">
        <v>8000000</v>
      </c>
      <c r="AD27" s="710">
        <v>7000000</v>
      </c>
      <c r="AE27" s="710">
        <v>7000000</v>
      </c>
      <c r="AF27" s="710">
        <v>7000000</v>
      </c>
      <c r="AG27" s="13"/>
    </row>
    <row r="28" spans="1:33" s="9" customFormat="1" ht="99.75" customHeight="1" thickBot="1">
      <c r="A28" s="939" t="s">
        <v>30</v>
      </c>
      <c r="B28" s="940" t="s">
        <v>541</v>
      </c>
      <c r="C28" s="986"/>
      <c r="D28" s="986"/>
      <c r="E28" s="987">
        <v>8349676</v>
      </c>
      <c r="F28" s="988">
        <v>6121555.7800000003</v>
      </c>
      <c r="G28" s="989">
        <v>0</v>
      </c>
      <c r="H28" s="1121">
        <v>0</v>
      </c>
      <c r="I28" s="1121">
        <v>0</v>
      </c>
      <c r="J28" s="1121">
        <v>0</v>
      </c>
      <c r="K28" s="1121">
        <f>'Przeds maj styczeń 2013'!S311</f>
        <v>0</v>
      </c>
      <c r="L28" s="1121">
        <f>'Przeds maj styczeń 2013'!T311</f>
        <v>0</v>
      </c>
      <c r="M28" s="1121">
        <v>0</v>
      </c>
      <c r="N28" s="989">
        <f>'Przeds maj styczeń 2013'!U311</f>
        <v>0</v>
      </c>
      <c r="O28" s="945"/>
      <c r="P28" s="945"/>
      <c r="Q28" s="945"/>
      <c r="R28" s="945"/>
      <c r="S28" s="986"/>
      <c r="T28" s="945"/>
      <c r="U28" s="945"/>
      <c r="V28" s="945"/>
      <c r="W28" s="698"/>
      <c r="X28" s="698"/>
      <c r="Y28" s="698"/>
      <c r="AA28" s="698"/>
      <c r="AB28" s="698"/>
      <c r="AC28" s="698"/>
      <c r="AD28" s="698"/>
      <c r="AE28" s="698"/>
      <c r="AF28" s="698"/>
      <c r="AG28" s="13"/>
    </row>
    <row r="29" spans="1:33" s="5" customFormat="1" ht="9.9499999999999993" customHeight="1" thickTop="1" thickBot="1">
      <c r="A29" s="964"/>
      <c r="B29" s="960"/>
      <c r="C29" s="966"/>
      <c r="D29" s="966"/>
      <c r="E29" s="966"/>
      <c r="F29" s="966"/>
      <c r="G29" s="967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6"/>
      <c r="T29" s="966"/>
      <c r="U29" s="966"/>
      <c r="V29" s="966"/>
      <c r="W29" s="706"/>
      <c r="X29" s="706"/>
      <c r="Y29" s="711"/>
      <c r="Z29" s="13"/>
      <c r="AA29" s="706"/>
      <c r="AB29" s="706"/>
      <c r="AC29" s="706"/>
      <c r="AD29" s="706"/>
      <c r="AE29" s="706"/>
      <c r="AF29" s="706"/>
      <c r="AG29" s="13"/>
    </row>
    <row r="30" spans="1:33" s="9" customFormat="1" ht="51" customHeight="1" thickTop="1" thickBot="1">
      <c r="A30" s="990" t="s">
        <v>31</v>
      </c>
      <c r="B30" s="991" t="s">
        <v>36</v>
      </c>
      <c r="C30" s="992">
        <f t="shared" ref="C30:D30" si="32">C25-C27</f>
        <v>-3530569.17</v>
      </c>
      <c r="D30" s="992">
        <f t="shared" si="32"/>
        <v>-4282751.3499999996</v>
      </c>
      <c r="E30" s="993">
        <f>E25-E27</f>
        <v>-6179000</v>
      </c>
      <c r="F30" s="993">
        <f>F25-F27</f>
        <v>-10343763.979999999</v>
      </c>
      <c r="G30" s="994">
        <f t="shared" ref="G30:J30" si="33">G25-G27</f>
        <v>971009.55000000075</v>
      </c>
      <c r="H30" s="995">
        <f t="shared" si="33"/>
        <v>2421712.1999999993</v>
      </c>
      <c r="I30" s="992">
        <f t="shared" si="33"/>
        <v>0</v>
      </c>
      <c r="J30" s="992">
        <f t="shared" si="33"/>
        <v>0</v>
      </c>
      <c r="K30" s="992">
        <f t="shared" ref="K30:AF30" si="34">K25-K27</f>
        <v>0</v>
      </c>
      <c r="L30" s="992">
        <f t="shared" si="34"/>
        <v>0</v>
      </c>
      <c r="M30" s="992">
        <f t="shared" si="34"/>
        <v>0</v>
      </c>
      <c r="N30" s="992">
        <f t="shared" si="34"/>
        <v>0</v>
      </c>
      <c r="O30" s="992">
        <f t="shared" si="34"/>
        <v>0</v>
      </c>
      <c r="P30" s="992">
        <f t="shared" si="34"/>
        <v>0</v>
      </c>
      <c r="Q30" s="992">
        <f t="shared" si="34"/>
        <v>0</v>
      </c>
      <c r="R30" s="992">
        <f t="shared" si="34"/>
        <v>0</v>
      </c>
      <c r="S30" s="992">
        <f t="shared" si="34"/>
        <v>0</v>
      </c>
      <c r="T30" s="992">
        <f t="shared" ref="T30:Y30" si="35">T25-T27</f>
        <v>0</v>
      </c>
      <c r="U30" s="992">
        <f t="shared" si="35"/>
        <v>0</v>
      </c>
      <c r="V30" s="992">
        <f t="shared" si="35"/>
        <v>0</v>
      </c>
      <c r="W30" s="712">
        <f t="shared" si="35"/>
        <v>-1586216</v>
      </c>
      <c r="X30" s="712">
        <f t="shared" si="35"/>
        <v>-1586216</v>
      </c>
      <c r="Y30" s="712">
        <f t="shared" si="35"/>
        <v>-1093205</v>
      </c>
      <c r="Z30" s="13"/>
      <c r="AA30" s="713">
        <f t="shared" si="34"/>
        <v>-4000000</v>
      </c>
      <c r="AB30" s="712">
        <f t="shared" si="34"/>
        <v>-4000000</v>
      </c>
      <c r="AC30" s="712">
        <f t="shared" si="34"/>
        <v>-4000000</v>
      </c>
      <c r="AD30" s="712">
        <f t="shared" si="34"/>
        <v>-4000000</v>
      </c>
      <c r="AE30" s="712">
        <f t="shared" si="34"/>
        <v>-4000000</v>
      </c>
      <c r="AF30" s="712">
        <f t="shared" si="34"/>
        <v>-4000000</v>
      </c>
      <c r="AG30" s="13"/>
    </row>
    <row r="31" spans="1:33" s="5" customFormat="1" ht="18" customHeight="1" thickTop="1">
      <c r="A31" s="964"/>
      <c r="B31" s="965"/>
      <c r="C31" s="996"/>
      <c r="D31" s="966"/>
      <c r="E31" s="966"/>
      <c r="F31" s="966"/>
      <c r="G31" s="967"/>
      <c r="H31" s="966"/>
      <c r="I31" s="966"/>
      <c r="J31" s="966"/>
      <c r="K31" s="966"/>
      <c r="L31" s="966"/>
      <c r="M31" s="966"/>
      <c r="N31" s="966"/>
      <c r="O31" s="966"/>
      <c r="P31" s="966"/>
      <c r="Q31" s="966"/>
      <c r="R31" s="966"/>
      <c r="S31" s="966"/>
      <c r="T31" s="966"/>
      <c r="U31" s="966"/>
      <c r="V31" s="966"/>
      <c r="W31" s="706"/>
      <c r="X31" s="706"/>
      <c r="Y31" s="711"/>
      <c r="Z31" s="13"/>
      <c r="AA31" s="706"/>
      <c r="AB31" s="706"/>
      <c r="AC31" s="706"/>
      <c r="AD31" s="706"/>
      <c r="AE31" s="706"/>
      <c r="AF31" s="706"/>
      <c r="AG31" s="13"/>
    </row>
    <row r="32" spans="1:33" s="9" customFormat="1" ht="65.25" hidden="1" customHeight="1" thickTop="1">
      <c r="A32" s="997" t="s">
        <v>77</v>
      </c>
      <c r="B32" s="998" t="s">
        <v>85</v>
      </c>
      <c r="C32" s="999">
        <f t="shared" ref="C32:D32" si="36">SUM(C33:C38)</f>
        <v>9156416</v>
      </c>
      <c r="D32" s="999">
        <f t="shared" si="36"/>
        <v>13674409</v>
      </c>
      <c r="E32" s="1000">
        <f>SUM(E33:E38)</f>
        <v>6397533</v>
      </c>
      <c r="F32" s="1000">
        <f>SUM(F33:F38)</f>
        <v>6603691.9899999993</v>
      </c>
      <c r="G32" s="1001">
        <f t="shared" ref="G32:AF32" si="37">SUM(G33:G38)</f>
        <v>0</v>
      </c>
      <c r="H32" s="1002">
        <f t="shared" si="37"/>
        <v>16137180.23</v>
      </c>
      <c r="I32" s="999">
        <f t="shared" si="37"/>
        <v>0</v>
      </c>
      <c r="J32" s="999">
        <f t="shared" si="37"/>
        <v>0</v>
      </c>
      <c r="K32" s="999">
        <f t="shared" si="37"/>
        <v>0</v>
      </c>
      <c r="L32" s="999">
        <f t="shared" si="37"/>
        <v>0</v>
      </c>
      <c r="M32" s="999">
        <f t="shared" si="37"/>
        <v>0</v>
      </c>
      <c r="N32" s="999">
        <f t="shared" si="37"/>
        <v>0</v>
      </c>
      <c r="O32" s="999">
        <f t="shared" si="37"/>
        <v>0</v>
      </c>
      <c r="P32" s="999">
        <f t="shared" si="37"/>
        <v>0</v>
      </c>
      <c r="Q32" s="999">
        <f t="shared" si="37"/>
        <v>0</v>
      </c>
      <c r="R32" s="999">
        <f t="shared" si="37"/>
        <v>0</v>
      </c>
      <c r="S32" s="999">
        <f t="shared" si="37"/>
        <v>0</v>
      </c>
      <c r="T32" s="999">
        <f t="shared" ref="T32:Y32" si="38">SUM(T33:T38)</f>
        <v>0</v>
      </c>
      <c r="U32" s="999">
        <f t="shared" si="38"/>
        <v>0</v>
      </c>
      <c r="V32" s="999">
        <f t="shared" si="38"/>
        <v>0</v>
      </c>
      <c r="W32" s="714">
        <f t="shared" si="38"/>
        <v>0</v>
      </c>
      <c r="X32" s="714">
        <f t="shared" si="38"/>
        <v>0</v>
      </c>
      <c r="Y32" s="714">
        <f t="shared" si="38"/>
        <v>0</v>
      </c>
      <c r="AA32" s="714">
        <f t="shared" si="37"/>
        <v>0</v>
      </c>
      <c r="AB32" s="714">
        <f t="shared" si="37"/>
        <v>0</v>
      </c>
      <c r="AC32" s="714">
        <f t="shared" si="37"/>
        <v>0</v>
      </c>
      <c r="AD32" s="714">
        <f t="shared" si="37"/>
        <v>0</v>
      </c>
      <c r="AE32" s="714">
        <f t="shared" si="37"/>
        <v>0</v>
      </c>
      <c r="AF32" s="714">
        <f t="shared" si="37"/>
        <v>0</v>
      </c>
      <c r="AG32" s="13"/>
    </row>
    <row r="33" spans="1:33" s="9" customFormat="1" ht="25.5" hidden="1" customHeight="1">
      <c r="A33" s="939" t="s">
        <v>40</v>
      </c>
      <c r="B33" s="940" t="s">
        <v>86</v>
      </c>
      <c r="C33" s="986"/>
      <c r="D33" s="986"/>
      <c r="E33" s="987"/>
      <c r="F33" s="987"/>
      <c r="G33" s="943"/>
      <c r="H33" s="986">
        <v>592000</v>
      </c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45"/>
      <c r="V33" s="945"/>
      <c r="W33" s="698"/>
      <c r="X33" s="698"/>
      <c r="Y33" s="698"/>
      <c r="AA33" s="698"/>
      <c r="AB33" s="698"/>
      <c r="AC33" s="698"/>
      <c r="AD33" s="698"/>
      <c r="AE33" s="698"/>
      <c r="AF33" s="698"/>
      <c r="AG33" s="13"/>
    </row>
    <row r="34" spans="1:33" s="9" customFormat="1" ht="25.5" hidden="1" customHeight="1">
      <c r="A34" s="939" t="s">
        <v>78</v>
      </c>
      <c r="B34" s="940" t="s">
        <v>87</v>
      </c>
      <c r="C34" s="986"/>
      <c r="D34" s="986"/>
      <c r="E34" s="987"/>
      <c r="F34" s="987"/>
      <c r="G34" s="943"/>
      <c r="H34" s="1003">
        <v>11375316</v>
      </c>
      <c r="I34" s="945">
        <v>0</v>
      </c>
      <c r="J34" s="945"/>
      <c r="K34" s="945"/>
      <c r="L34" s="945"/>
      <c r="M34" s="945"/>
      <c r="N34" s="945"/>
      <c r="O34" s="945"/>
      <c r="P34" s="945"/>
      <c r="Q34" s="945"/>
      <c r="R34" s="945"/>
      <c r="S34" s="945"/>
      <c r="T34" s="945"/>
      <c r="U34" s="945"/>
      <c r="V34" s="945"/>
      <c r="W34" s="698"/>
      <c r="X34" s="698"/>
      <c r="Y34" s="698"/>
      <c r="AA34" s="698"/>
      <c r="AB34" s="698"/>
      <c r="AC34" s="698"/>
      <c r="AD34" s="698"/>
      <c r="AE34" s="698"/>
      <c r="AF34" s="698"/>
      <c r="AG34" s="13"/>
    </row>
    <row r="35" spans="1:33" s="9" customFormat="1" ht="25.5" hidden="1" customHeight="1">
      <c r="A35" s="939" t="s">
        <v>79</v>
      </c>
      <c r="B35" s="940" t="s">
        <v>48</v>
      </c>
      <c r="C35" s="945">
        <f>C51+C54+C55-C57</f>
        <v>5205362</v>
      </c>
      <c r="D35" s="945">
        <f t="shared" ref="D35" si="39">D51+D54-D57</f>
        <v>10077301</v>
      </c>
      <c r="E35" s="1004">
        <f>E51+E54-E57</f>
        <v>3543907</v>
      </c>
      <c r="F35" s="1004">
        <v>2000862.89</v>
      </c>
      <c r="G35" s="943">
        <v>0</v>
      </c>
      <c r="H35" s="986">
        <v>1139135</v>
      </c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698"/>
      <c r="X35" s="698"/>
      <c r="Y35" s="698"/>
      <c r="AA35" s="698"/>
      <c r="AB35" s="698"/>
      <c r="AC35" s="698"/>
      <c r="AD35" s="698"/>
      <c r="AE35" s="698"/>
      <c r="AF35" s="698"/>
      <c r="AG35" s="13"/>
    </row>
    <row r="36" spans="1:33" s="9" customFormat="1" ht="25.5" hidden="1" customHeight="1">
      <c r="A36" s="939" t="s">
        <v>80</v>
      </c>
      <c r="B36" s="940" t="s">
        <v>90</v>
      </c>
      <c r="C36" s="986"/>
      <c r="D36" s="986"/>
      <c r="E36" s="987"/>
      <c r="F36" s="987"/>
      <c r="G36" s="943"/>
      <c r="H36" s="986"/>
      <c r="I36" s="945"/>
      <c r="J36" s="945"/>
      <c r="K36" s="945"/>
      <c r="L36" s="945"/>
      <c r="M36" s="945"/>
      <c r="N36" s="945"/>
      <c r="O36" s="945"/>
      <c r="P36" s="945"/>
      <c r="Q36" s="945"/>
      <c r="R36" s="945"/>
      <c r="S36" s="945"/>
      <c r="T36" s="945"/>
      <c r="U36" s="945"/>
      <c r="V36" s="945"/>
      <c r="W36" s="698"/>
      <c r="X36" s="698"/>
      <c r="Y36" s="698"/>
      <c r="AA36" s="698"/>
      <c r="AB36" s="698"/>
      <c r="AC36" s="698"/>
      <c r="AD36" s="698"/>
      <c r="AE36" s="698"/>
      <c r="AF36" s="698"/>
      <c r="AG36" s="13"/>
    </row>
    <row r="37" spans="1:33" s="9" customFormat="1" ht="25.5" hidden="1" customHeight="1">
      <c r="A37" s="939" t="s">
        <v>81</v>
      </c>
      <c r="B37" s="940" t="s">
        <v>88</v>
      </c>
      <c r="C37" s="986"/>
      <c r="D37" s="986"/>
      <c r="E37" s="987"/>
      <c r="F37" s="987"/>
      <c r="G37" s="943"/>
      <c r="H37" s="986"/>
      <c r="I37" s="945"/>
      <c r="J37" s="945"/>
      <c r="K37" s="945"/>
      <c r="L37" s="945"/>
      <c r="M37" s="945"/>
      <c r="N37" s="945"/>
      <c r="O37" s="945"/>
      <c r="P37" s="945"/>
      <c r="Q37" s="945"/>
      <c r="R37" s="945"/>
      <c r="S37" s="945"/>
      <c r="T37" s="945"/>
      <c r="U37" s="945"/>
      <c r="V37" s="945"/>
      <c r="W37" s="698"/>
      <c r="X37" s="698"/>
      <c r="Y37" s="698"/>
      <c r="AA37" s="698"/>
      <c r="AB37" s="698"/>
      <c r="AC37" s="698"/>
      <c r="AD37" s="698"/>
      <c r="AE37" s="698"/>
      <c r="AF37" s="698"/>
      <c r="AG37" s="13"/>
    </row>
    <row r="38" spans="1:33" s="9" customFormat="1" ht="25.5" hidden="1" customHeight="1" thickBot="1">
      <c r="A38" s="939" t="s">
        <v>82</v>
      </c>
      <c r="B38" s="940" t="s">
        <v>95</v>
      </c>
      <c r="C38" s="986">
        <v>3951054</v>
      </c>
      <c r="D38" s="986">
        <v>3597108</v>
      </c>
      <c r="E38" s="1005">
        <v>2853626</v>
      </c>
      <c r="F38" s="1005">
        <v>4602829.0999999996</v>
      </c>
      <c r="G38" s="989"/>
      <c r="H38" s="1006">
        <f t="shared" ref="H38:R38" si="40">H54</f>
        <v>3030729.23</v>
      </c>
      <c r="I38" s="1007">
        <f t="shared" si="40"/>
        <v>0</v>
      </c>
      <c r="J38" s="1007">
        <v>0</v>
      </c>
      <c r="K38" s="1007">
        <v>0</v>
      </c>
      <c r="L38" s="1007">
        <f t="shared" si="40"/>
        <v>0</v>
      </c>
      <c r="M38" s="1007">
        <f t="shared" si="40"/>
        <v>0</v>
      </c>
      <c r="N38" s="1007">
        <f t="shared" si="40"/>
        <v>0</v>
      </c>
      <c r="O38" s="1007">
        <f t="shared" si="40"/>
        <v>0</v>
      </c>
      <c r="P38" s="1007">
        <f t="shared" si="40"/>
        <v>0</v>
      </c>
      <c r="Q38" s="1007">
        <f t="shared" si="40"/>
        <v>0</v>
      </c>
      <c r="R38" s="1007">
        <f t="shared" si="40"/>
        <v>0</v>
      </c>
      <c r="S38" s="1007"/>
      <c r="T38" s="1007"/>
      <c r="U38" s="1007"/>
      <c r="V38" s="1007"/>
      <c r="W38" s="716"/>
      <c r="X38" s="716"/>
      <c r="Y38" s="716"/>
      <c r="AA38" s="716"/>
      <c r="AB38" s="716"/>
      <c r="AC38" s="716"/>
      <c r="AD38" s="716"/>
      <c r="AE38" s="716"/>
      <c r="AF38" s="716"/>
      <c r="AG38" s="13"/>
    </row>
    <row r="39" spans="1:33" s="5" customFormat="1" ht="9.9499999999999993" hidden="1" customHeight="1" thickTop="1" thickBot="1">
      <c r="A39" s="1008"/>
      <c r="B39" s="1009"/>
      <c r="C39" s="1010"/>
      <c r="D39" s="1010"/>
      <c r="E39" s="1010"/>
      <c r="F39" s="1010"/>
      <c r="G39" s="1011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0"/>
      <c r="V39" s="1010"/>
      <c r="W39" s="717"/>
      <c r="X39" s="717"/>
      <c r="Y39" s="788"/>
      <c r="Z39" s="13"/>
      <c r="AA39" s="717"/>
      <c r="AB39" s="717"/>
      <c r="AC39" s="718"/>
      <c r="AD39" s="717"/>
      <c r="AE39" s="717"/>
      <c r="AF39" s="717"/>
      <c r="AG39" s="13"/>
    </row>
    <row r="40" spans="1:33" s="9" customFormat="1" ht="66" hidden="1" customHeight="1" thickTop="1">
      <c r="A40" s="1012" t="s">
        <v>41</v>
      </c>
      <c r="B40" s="1013" t="s">
        <v>94</v>
      </c>
      <c r="C40" s="1014"/>
      <c r="D40" s="1015"/>
      <c r="E40" s="1016">
        <f t="shared" ref="E40:Y40" si="41">SUM(E41:E44)</f>
        <v>0</v>
      </c>
      <c r="F40" s="1016">
        <f t="shared" si="41"/>
        <v>0</v>
      </c>
      <c r="G40" s="1017">
        <f t="shared" si="41"/>
        <v>0</v>
      </c>
      <c r="H40" s="1015">
        <f t="shared" si="41"/>
        <v>0</v>
      </c>
      <c r="I40" s="1018">
        <f t="shared" si="41"/>
        <v>0</v>
      </c>
      <c r="J40" s="1018">
        <f t="shared" si="41"/>
        <v>0</v>
      </c>
      <c r="K40" s="1018">
        <f t="shared" si="41"/>
        <v>7792714</v>
      </c>
      <c r="L40" s="1018">
        <f t="shared" si="41"/>
        <v>7700000</v>
      </c>
      <c r="M40" s="1018">
        <f t="shared" si="41"/>
        <v>7800000</v>
      </c>
      <c r="N40" s="1018">
        <f t="shared" si="41"/>
        <v>7900000</v>
      </c>
      <c r="O40" s="1018">
        <f t="shared" si="41"/>
        <v>7075246</v>
      </c>
      <c r="P40" s="1018">
        <f t="shared" si="41"/>
        <v>6018648</v>
      </c>
      <c r="Q40" s="1018">
        <f t="shared" si="41"/>
        <v>6600000</v>
      </c>
      <c r="R40" s="1018">
        <f t="shared" si="41"/>
        <v>2670835</v>
      </c>
      <c r="S40" s="1018">
        <f t="shared" si="41"/>
        <v>3042899</v>
      </c>
      <c r="T40" s="1018">
        <f t="shared" si="41"/>
        <v>0</v>
      </c>
      <c r="U40" s="1018">
        <f t="shared" si="41"/>
        <v>0</v>
      </c>
      <c r="V40" s="1018">
        <f t="shared" si="41"/>
        <v>0</v>
      </c>
      <c r="W40" s="720">
        <f t="shared" si="41"/>
        <v>195613784</v>
      </c>
      <c r="X40" s="720">
        <f t="shared" si="41"/>
        <v>1013784</v>
      </c>
      <c r="Y40" s="720">
        <f t="shared" si="41"/>
        <v>506795</v>
      </c>
      <c r="Z40" s="13"/>
      <c r="AA40" s="719">
        <f t="shared" ref="AA40:AF40" si="42">SUM(AA41:AA44)</f>
        <v>-4000000</v>
      </c>
      <c r="AB40" s="720">
        <f t="shared" si="42"/>
        <v>-4000000</v>
      </c>
      <c r="AC40" s="720">
        <f t="shared" si="42"/>
        <v>-4000000</v>
      </c>
      <c r="AD40" s="720">
        <f t="shared" si="42"/>
        <v>-4000000</v>
      </c>
      <c r="AE40" s="720">
        <f t="shared" si="42"/>
        <v>-4000000</v>
      </c>
      <c r="AF40" s="720">
        <f t="shared" si="42"/>
        <v>-4000000</v>
      </c>
      <c r="AG40" s="13"/>
    </row>
    <row r="41" spans="1:33" s="9" customFormat="1" ht="25.5" hidden="1" customHeight="1">
      <c r="A41" s="939" t="s">
        <v>42</v>
      </c>
      <c r="B41" s="940" t="s">
        <v>351</v>
      </c>
      <c r="C41" s="986"/>
      <c r="D41" s="986"/>
      <c r="E41" s="987"/>
      <c r="F41" s="987"/>
      <c r="G41" s="943"/>
      <c r="H41" s="986"/>
      <c r="I41" s="945"/>
      <c r="J41" s="945"/>
      <c r="K41" s="945">
        <v>1792714</v>
      </c>
      <c r="L41" s="945">
        <v>1700000</v>
      </c>
      <c r="M41" s="945">
        <v>1800000</v>
      </c>
      <c r="N41" s="945">
        <v>900000</v>
      </c>
      <c r="O41" s="945">
        <v>1775246</v>
      </c>
      <c r="P41" s="945">
        <v>1775246</v>
      </c>
      <c r="Q41" s="945">
        <v>507593</v>
      </c>
      <c r="R41" s="945">
        <v>1775246</v>
      </c>
      <c r="S41" s="945">
        <v>1775246</v>
      </c>
      <c r="T41" s="945">
        <f>T9</f>
        <v>0</v>
      </c>
      <c r="U41" s="945">
        <f>U9</f>
        <v>0</v>
      </c>
      <c r="V41" s="945">
        <f>V9</f>
        <v>0</v>
      </c>
      <c r="W41" s="698">
        <f>W9</f>
        <v>195613784</v>
      </c>
      <c r="X41" s="698">
        <v>1013784</v>
      </c>
      <c r="Y41" s="698">
        <v>506795</v>
      </c>
      <c r="Z41" s="13"/>
      <c r="AA41" s="711"/>
      <c r="AB41" s="698"/>
      <c r="AC41" s="698"/>
      <c r="AD41" s="698"/>
      <c r="AE41" s="698"/>
      <c r="AF41" s="698"/>
      <c r="AG41" s="13"/>
    </row>
    <row r="42" spans="1:33" s="9" customFormat="1" ht="25.5" hidden="1" customHeight="1">
      <c r="A42" s="939" t="s">
        <v>43</v>
      </c>
      <c r="B42" s="940" t="s">
        <v>67</v>
      </c>
      <c r="C42" s="986"/>
      <c r="D42" s="986"/>
      <c r="E42" s="987"/>
      <c r="F42" s="987"/>
      <c r="G42" s="943"/>
      <c r="H42" s="986">
        <v>0</v>
      </c>
      <c r="I42" s="945">
        <v>0</v>
      </c>
      <c r="J42" s="945">
        <f>J9</f>
        <v>0</v>
      </c>
      <c r="K42" s="945">
        <v>6000000</v>
      </c>
      <c r="L42" s="945">
        <v>6000000</v>
      </c>
      <c r="M42" s="945">
        <v>6000000</v>
      </c>
      <c r="N42" s="945">
        <v>7000000</v>
      </c>
      <c r="O42" s="945">
        <v>5300000</v>
      </c>
      <c r="P42" s="945">
        <v>4243402</v>
      </c>
      <c r="Q42" s="945">
        <v>6092407</v>
      </c>
      <c r="R42" s="945">
        <v>895589</v>
      </c>
      <c r="S42" s="1019">
        <v>1267653</v>
      </c>
      <c r="T42" s="939"/>
      <c r="U42" s="1020"/>
      <c r="V42" s="1020"/>
      <c r="W42" s="9">
        <v>0</v>
      </c>
      <c r="X42" s="698">
        <v>0</v>
      </c>
      <c r="Y42" s="698">
        <v>0</v>
      </c>
      <c r="Z42" s="13"/>
      <c r="AA42" s="711">
        <f t="shared" ref="AA42:AF42" si="43">AA9</f>
        <v>-4000000</v>
      </c>
      <c r="AB42" s="698">
        <f t="shared" si="43"/>
        <v>-4000000</v>
      </c>
      <c r="AC42" s="698">
        <f t="shared" si="43"/>
        <v>-4000000</v>
      </c>
      <c r="AD42" s="698">
        <f t="shared" si="43"/>
        <v>-4000000</v>
      </c>
      <c r="AE42" s="698">
        <f t="shared" si="43"/>
        <v>-4000000</v>
      </c>
      <c r="AF42" s="698">
        <f t="shared" si="43"/>
        <v>-4000000</v>
      </c>
      <c r="AG42" s="13"/>
    </row>
    <row r="43" spans="1:33" s="9" customFormat="1" ht="25.5" hidden="1" customHeight="1">
      <c r="A43" s="939" t="s">
        <v>44</v>
      </c>
      <c r="B43" s="940" t="s">
        <v>84</v>
      </c>
      <c r="C43" s="986"/>
      <c r="D43" s="986"/>
      <c r="E43" s="987"/>
      <c r="F43" s="987"/>
      <c r="G43" s="943"/>
      <c r="H43" s="986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698"/>
      <c r="X43" s="698"/>
      <c r="Y43" s="698"/>
      <c r="Z43" s="13"/>
      <c r="AA43" s="711"/>
      <c r="AB43" s="698"/>
      <c r="AC43" s="698"/>
      <c r="AD43" s="698"/>
      <c r="AE43" s="698"/>
      <c r="AF43" s="698"/>
      <c r="AG43" s="13"/>
    </row>
    <row r="44" spans="1:33" s="9" customFormat="1" ht="25.5" hidden="1" customHeight="1" thickBot="1">
      <c r="A44" s="939" t="s">
        <v>45</v>
      </c>
      <c r="B44" s="940" t="s">
        <v>89</v>
      </c>
      <c r="C44" s="1006"/>
      <c r="D44" s="1006"/>
      <c r="E44" s="1005"/>
      <c r="F44" s="1005"/>
      <c r="G44" s="989"/>
      <c r="H44" s="1006"/>
      <c r="I44" s="1007"/>
      <c r="J44" s="1007"/>
      <c r="K44" s="1007"/>
      <c r="L44" s="1007"/>
      <c r="M44" s="1007"/>
      <c r="N44" s="1007"/>
      <c r="O44" s="1007"/>
      <c r="P44" s="1007"/>
      <c r="Q44" s="1007"/>
      <c r="R44" s="1007"/>
      <c r="S44" s="1007"/>
      <c r="T44" s="1007"/>
      <c r="U44" s="1007"/>
      <c r="V44" s="1007"/>
      <c r="W44" s="716"/>
      <c r="X44" s="716"/>
      <c r="Y44" s="716"/>
      <c r="Z44" s="13"/>
      <c r="AA44" s="715"/>
      <c r="AB44" s="716"/>
      <c r="AC44" s="716"/>
      <c r="AD44" s="716"/>
      <c r="AE44" s="716"/>
      <c r="AF44" s="716"/>
      <c r="AG44" s="13"/>
    </row>
    <row r="45" spans="1:33" s="5" customFormat="1" ht="9.9499999999999993" customHeight="1" thickBot="1">
      <c r="A45" s="1008"/>
      <c r="B45" s="1009"/>
      <c r="C45" s="1010"/>
      <c r="D45" s="1010"/>
      <c r="E45" s="1010"/>
      <c r="F45" s="1010"/>
      <c r="G45" s="1011"/>
      <c r="H45" s="1010"/>
      <c r="I45" s="1010"/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717"/>
      <c r="X45" s="717"/>
      <c r="Y45" s="788"/>
      <c r="Z45" s="13"/>
      <c r="AA45" s="717"/>
      <c r="AB45" s="717"/>
      <c r="AC45" s="718"/>
      <c r="AD45" s="717"/>
      <c r="AE45" s="717"/>
      <c r="AF45" s="717"/>
      <c r="AG45" s="13"/>
    </row>
    <row r="46" spans="1:33" s="9" customFormat="1" ht="56.25" customHeight="1" thickTop="1" thickBot="1">
      <c r="A46" s="1021" t="s">
        <v>46</v>
      </c>
      <c r="B46" s="1022" t="s">
        <v>47</v>
      </c>
      <c r="C46" s="1023">
        <f t="shared" ref="C46:D46" si="44">C48+C52+C53+C54+C55</f>
        <v>8901750</v>
      </c>
      <c r="D46" s="1023">
        <f t="shared" si="44"/>
        <v>16000000</v>
      </c>
      <c r="E46" s="1024">
        <f>E48+E52+E53+E54+E55</f>
        <v>10000000</v>
      </c>
      <c r="F46" s="1024">
        <f>F48+F52+F53+F54+F55</f>
        <v>14602829.1</v>
      </c>
      <c r="G46" s="1025">
        <f t="shared" ref="G46:AF46" si="45">G48+G52+G53+G54+G55</f>
        <v>10533780.890000001</v>
      </c>
      <c r="H46" s="1026">
        <f t="shared" si="45"/>
        <v>14330729.23</v>
      </c>
      <c r="I46" s="1023">
        <f t="shared" si="45"/>
        <v>0</v>
      </c>
      <c r="J46" s="1023">
        <f t="shared" si="45"/>
        <v>0</v>
      </c>
      <c r="K46" s="1023">
        <f t="shared" si="45"/>
        <v>0</v>
      </c>
      <c r="L46" s="1023">
        <f t="shared" si="45"/>
        <v>0</v>
      </c>
      <c r="M46" s="1023">
        <f t="shared" si="45"/>
        <v>0</v>
      </c>
      <c r="N46" s="1023">
        <f t="shared" si="45"/>
        <v>0</v>
      </c>
      <c r="O46" s="1023">
        <f t="shared" si="45"/>
        <v>0</v>
      </c>
      <c r="P46" s="1023">
        <f t="shared" si="45"/>
        <v>0</v>
      </c>
      <c r="Q46" s="1023">
        <f t="shared" si="45"/>
        <v>0</v>
      </c>
      <c r="R46" s="1023">
        <f t="shared" si="45"/>
        <v>0</v>
      </c>
      <c r="S46" s="1023">
        <f t="shared" si="45"/>
        <v>0</v>
      </c>
      <c r="T46" s="1023">
        <f t="shared" ref="T46:Y46" si="46">T48+T52+T53+T54+T55</f>
        <v>0</v>
      </c>
      <c r="U46" s="1023">
        <f t="shared" si="46"/>
        <v>0</v>
      </c>
      <c r="V46" s="1023">
        <f t="shared" si="46"/>
        <v>0</v>
      </c>
      <c r="W46" s="721">
        <f t="shared" si="46"/>
        <v>0</v>
      </c>
      <c r="X46" s="721">
        <f t="shared" si="46"/>
        <v>0</v>
      </c>
      <c r="Y46" s="721">
        <f t="shared" si="46"/>
        <v>0</v>
      </c>
      <c r="Z46" s="13"/>
      <c r="AA46" s="722">
        <f t="shared" si="45"/>
        <v>0</v>
      </c>
      <c r="AB46" s="721">
        <f t="shared" si="45"/>
        <v>0</v>
      </c>
      <c r="AC46" s="721">
        <f t="shared" si="45"/>
        <v>0</v>
      </c>
      <c r="AD46" s="721">
        <f t="shared" si="45"/>
        <v>0</v>
      </c>
      <c r="AE46" s="721">
        <f t="shared" si="45"/>
        <v>0</v>
      </c>
      <c r="AF46" s="721">
        <f t="shared" si="45"/>
        <v>0</v>
      </c>
      <c r="AG46" s="13"/>
    </row>
    <row r="47" spans="1:33" s="5" customFormat="1" ht="9.9499999999999993" customHeight="1" thickTop="1" thickBot="1">
      <c r="A47" s="1008"/>
      <c r="B47" s="1027"/>
      <c r="C47" s="1028"/>
      <c r="D47" s="1010"/>
      <c r="E47" s="1010"/>
      <c r="F47" s="1010"/>
      <c r="G47" s="1011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0"/>
      <c r="V47" s="1010"/>
      <c r="W47" s="717"/>
      <c r="X47" s="717"/>
      <c r="Y47" s="788"/>
      <c r="Z47" s="13"/>
      <c r="AA47" s="717"/>
      <c r="AB47" s="717"/>
      <c r="AC47" s="718"/>
      <c r="AD47" s="717"/>
      <c r="AE47" s="717"/>
      <c r="AF47" s="717"/>
      <c r="AG47" s="13"/>
    </row>
    <row r="48" spans="1:33" s="9" customFormat="1" ht="36" customHeight="1" thickTop="1">
      <c r="A48" s="939" t="s">
        <v>49</v>
      </c>
      <c r="B48" s="940" t="s">
        <v>428</v>
      </c>
      <c r="C48" s="1029">
        <f t="shared" ref="C48:D48" si="47">SUM(C49:C51)</f>
        <v>8900000</v>
      </c>
      <c r="D48" s="1029">
        <f t="shared" si="47"/>
        <v>16000000</v>
      </c>
      <c r="E48" s="1030">
        <f>SUM(E49:E51)</f>
        <v>10000000</v>
      </c>
      <c r="F48" s="1030">
        <f>SUM(F49:F51)</f>
        <v>10000000</v>
      </c>
      <c r="G48" s="1031">
        <f t="shared" ref="G48:AF48" si="48">SUM(G49:G51)</f>
        <v>9000000</v>
      </c>
      <c r="H48" s="1032">
        <f t="shared" si="48"/>
        <v>11300000</v>
      </c>
      <c r="I48" s="1029">
        <v>0</v>
      </c>
      <c r="J48" s="1029">
        <f t="shared" si="48"/>
        <v>0</v>
      </c>
      <c r="K48" s="1029">
        <f t="shared" si="48"/>
        <v>0</v>
      </c>
      <c r="L48" s="1029">
        <f t="shared" si="48"/>
        <v>0</v>
      </c>
      <c r="M48" s="1029">
        <f t="shared" si="48"/>
        <v>0</v>
      </c>
      <c r="N48" s="1029">
        <f t="shared" si="48"/>
        <v>0</v>
      </c>
      <c r="O48" s="1029">
        <f t="shared" si="48"/>
        <v>0</v>
      </c>
      <c r="P48" s="1029">
        <f t="shared" si="48"/>
        <v>0</v>
      </c>
      <c r="Q48" s="1029">
        <f t="shared" si="48"/>
        <v>0</v>
      </c>
      <c r="R48" s="1029">
        <f t="shared" si="48"/>
        <v>0</v>
      </c>
      <c r="S48" s="1029">
        <f t="shared" si="48"/>
        <v>0</v>
      </c>
      <c r="T48" s="1029">
        <f t="shared" ref="T48:Y48" si="49">SUM(T49:T51)</f>
        <v>0</v>
      </c>
      <c r="U48" s="1029">
        <f t="shared" si="49"/>
        <v>0</v>
      </c>
      <c r="V48" s="1029">
        <f t="shared" si="49"/>
        <v>0</v>
      </c>
      <c r="W48" s="723">
        <f t="shared" si="49"/>
        <v>0</v>
      </c>
      <c r="X48" s="723">
        <f t="shared" si="49"/>
        <v>0</v>
      </c>
      <c r="Y48" s="723">
        <f t="shared" si="49"/>
        <v>0</v>
      </c>
      <c r="Z48" s="13"/>
      <c r="AA48" s="703">
        <f t="shared" si="48"/>
        <v>0</v>
      </c>
      <c r="AB48" s="723">
        <f t="shared" si="48"/>
        <v>4000000</v>
      </c>
      <c r="AC48" s="723">
        <f t="shared" si="48"/>
        <v>4000000</v>
      </c>
      <c r="AD48" s="723">
        <f t="shared" si="48"/>
        <v>4000000</v>
      </c>
      <c r="AE48" s="723">
        <f t="shared" si="48"/>
        <v>4000000</v>
      </c>
      <c r="AF48" s="723">
        <f t="shared" si="48"/>
        <v>4000000</v>
      </c>
      <c r="AG48" s="13"/>
    </row>
    <row r="49" spans="1:33" s="9" customFormat="1" ht="34.5" customHeight="1">
      <c r="A49" s="939" t="s">
        <v>50</v>
      </c>
      <c r="B49" s="940" t="s">
        <v>1</v>
      </c>
      <c r="C49" s="986"/>
      <c r="D49" s="986"/>
      <c r="E49" s="987"/>
      <c r="F49" s="987"/>
      <c r="G49" s="943"/>
      <c r="H49" s="986">
        <v>0</v>
      </c>
      <c r="I49" s="945">
        <v>0</v>
      </c>
      <c r="J49" s="945"/>
      <c r="K49" s="945"/>
      <c r="L49" s="945"/>
      <c r="M49" s="945"/>
      <c r="N49" s="945"/>
      <c r="O49" s="945"/>
      <c r="P49" s="945"/>
      <c r="Q49" s="945"/>
      <c r="R49" s="945"/>
      <c r="S49" s="945"/>
      <c r="T49" s="945"/>
      <c r="U49" s="945"/>
      <c r="V49" s="945"/>
      <c r="W49" s="698"/>
      <c r="X49" s="698"/>
      <c r="Y49" s="698"/>
      <c r="Z49" s="13"/>
      <c r="AA49" s="711"/>
      <c r="AB49" s="698"/>
      <c r="AC49" s="698"/>
      <c r="AD49" s="698"/>
      <c r="AE49" s="698"/>
      <c r="AF49" s="698"/>
      <c r="AG49" s="13"/>
    </row>
    <row r="50" spans="1:33" s="9" customFormat="1" ht="33" customHeight="1">
      <c r="A50" s="939" t="s">
        <v>51</v>
      </c>
      <c r="B50" s="940" t="s">
        <v>2</v>
      </c>
      <c r="C50" s="986"/>
      <c r="D50" s="986"/>
      <c r="E50" s="987"/>
      <c r="F50" s="987"/>
      <c r="G50" s="943"/>
      <c r="H50" s="986">
        <v>0</v>
      </c>
      <c r="I50" s="945">
        <v>0</v>
      </c>
      <c r="J50" s="945">
        <v>0</v>
      </c>
      <c r="K50" s="945"/>
      <c r="L50" s="945"/>
      <c r="M50" s="945"/>
      <c r="N50" s="945"/>
      <c r="O50" s="945"/>
      <c r="P50" s="945"/>
      <c r="Q50" s="945"/>
      <c r="R50" s="945"/>
      <c r="S50" s="945"/>
      <c r="T50" s="945"/>
      <c r="U50" s="945"/>
      <c r="V50" s="945"/>
      <c r="W50" s="698"/>
      <c r="X50" s="698"/>
      <c r="Y50" s="698"/>
      <c r="Z50" s="13"/>
      <c r="AA50" s="711"/>
      <c r="AB50" s="698"/>
      <c r="AC50" s="698"/>
      <c r="AD50" s="698"/>
      <c r="AE50" s="698"/>
      <c r="AF50" s="698"/>
      <c r="AG50" s="13"/>
    </row>
    <row r="51" spans="1:33" s="9" customFormat="1" ht="33" customHeight="1">
      <c r="A51" s="939" t="s">
        <v>52</v>
      </c>
      <c r="B51" s="940" t="s">
        <v>3</v>
      </c>
      <c r="C51" s="986">
        <v>8900000</v>
      </c>
      <c r="D51" s="986">
        <v>16000000</v>
      </c>
      <c r="E51" s="987">
        <v>10000000</v>
      </c>
      <c r="F51" s="987">
        <v>10000000</v>
      </c>
      <c r="G51" s="943">
        <v>9000000</v>
      </c>
      <c r="H51" s="986">
        <f>9300000+2000000</f>
        <v>11300000</v>
      </c>
      <c r="I51" s="945">
        <v>0</v>
      </c>
      <c r="J51" s="945">
        <v>0</v>
      </c>
      <c r="K51" s="945">
        <v>0</v>
      </c>
      <c r="L51" s="945">
        <v>0</v>
      </c>
      <c r="M51" s="945">
        <v>0</v>
      </c>
      <c r="N51" s="945">
        <v>0</v>
      </c>
      <c r="O51" s="945">
        <v>0</v>
      </c>
      <c r="P51" s="945">
        <v>0</v>
      </c>
      <c r="Q51" s="945">
        <v>0</v>
      </c>
      <c r="R51" s="945">
        <v>0</v>
      </c>
      <c r="S51" s="945">
        <v>0</v>
      </c>
      <c r="T51" s="945">
        <v>0</v>
      </c>
      <c r="U51" s="945">
        <v>0</v>
      </c>
      <c r="V51" s="945">
        <v>0</v>
      </c>
      <c r="W51" s="698">
        <v>0</v>
      </c>
      <c r="X51" s="698">
        <v>0</v>
      </c>
      <c r="Y51" s="698">
        <v>0</v>
      </c>
      <c r="Z51" s="13"/>
      <c r="AA51" s="711">
        <f t="shared" ref="AA51:AF51" si="50">AA57-AA53</f>
        <v>0</v>
      </c>
      <c r="AB51" s="698">
        <f t="shared" si="50"/>
        <v>4000000</v>
      </c>
      <c r="AC51" s="698">
        <f t="shared" si="50"/>
        <v>4000000</v>
      </c>
      <c r="AD51" s="698">
        <f t="shared" si="50"/>
        <v>4000000</v>
      </c>
      <c r="AE51" s="698">
        <f t="shared" si="50"/>
        <v>4000000</v>
      </c>
      <c r="AF51" s="698">
        <f t="shared" si="50"/>
        <v>4000000</v>
      </c>
      <c r="AG51" s="13"/>
    </row>
    <row r="52" spans="1:33" s="9" customFormat="1" ht="33" customHeight="1">
      <c r="A52" s="939" t="s">
        <v>53</v>
      </c>
      <c r="B52" s="940" t="s">
        <v>429</v>
      </c>
      <c r="C52" s="986"/>
      <c r="D52" s="986"/>
      <c r="E52" s="987"/>
      <c r="F52" s="987"/>
      <c r="G52" s="943"/>
      <c r="H52" s="986"/>
      <c r="I52" s="945">
        <v>0</v>
      </c>
      <c r="J52" s="945">
        <v>0</v>
      </c>
      <c r="K52" s="945"/>
      <c r="L52" s="945"/>
      <c r="M52" s="945"/>
      <c r="N52" s="945"/>
      <c r="O52" s="945"/>
      <c r="P52" s="945"/>
      <c r="Q52" s="945"/>
      <c r="R52" s="945"/>
      <c r="S52" s="945"/>
      <c r="T52" s="945"/>
      <c r="U52" s="945"/>
      <c r="V52" s="945"/>
      <c r="W52" s="698"/>
      <c r="X52" s="698"/>
      <c r="Y52" s="698"/>
      <c r="Z52" s="13"/>
      <c r="AA52" s="711"/>
      <c r="AB52" s="698"/>
      <c r="AC52" s="698"/>
      <c r="AD52" s="698"/>
      <c r="AE52" s="698"/>
      <c r="AF52" s="698"/>
      <c r="AG52" s="13"/>
    </row>
    <row r="53" spans="1:33" s="9" customFormat="1" ht="34.5" customHeight="1">
      <c r="A53" s="939" t="s">
        <v>54</v>
      </c>
      <c r="B53" s="940" t="s">
        <v>88</v>
      </c>
      <c r="C53" s="945"/>
      <c r="D53" s="945"/>
      <c r="E53" s="987"/>
      <c r="F53" s="987"/>
      <c r="G53" s="943">
        <f t="shared" ref="G53" si="51">IF(E9&lt;=0,0,E9)</f>
        <v>0</v>
      </c>
      <c r="H53" s="986">
        <f>IF(G9&lt;=0,0,G9)</f>
        <v>0</v>
      </c>
      <c r="I53" s="945">
        <v>0</v>
      </c>
      <c r="J53" s="945">
        <v>0</v>
      </c>
      <c r="K53" s="945">
        <v>0</v>
      </c>
      <c r="L53" s="945">
        <v>0</v>
      </c>
      <c r="M53" s="945">
        <v>0</v>
      </c>
      <c r="N53" s="945">
        <v>0</v>
      </c>
      <c r="O53" s="945">
        <v>0</v>
      </c>
      <c r="P53" s="945">
        <v>0</v>
      </c>
      <c r="Q53" s="945">
        <v>0</v>
      </c>
      <c r="R53" s="945">
        <v>0</v>
      </c>
      <c r="S53" s="945">
        <v>0</v>
      </c>
      <c r="T53" s="945">
        <v>0</v>
      </c>
      <c r="U53" s="945">
        <v>0</v>
      </c>
      <c r="V53" s="945">
        <v>0</v>
      </c>
      <c r="W53" s="698">
        <v>0</v>
      </c>
      <c r="X53" s="698">
        <v>0</v>
      </c>
      <c r="Y53" s="698">
        <v>0</v>
      </c>
      <c r="Z53" s="13"/>
      <c r="AA53" s="711">
        <f>T9</f>
        <v>0</v>
      </c>
      <c r="AB53" s="698">
        <f>AA9</f>
        <v>-4000000</v>
      </c>
      <c r="AC53" s="698">
        <f t="shared" ref="AC53:AF53" si="52">AB9</f>
        <v>-4000000</v>
      </c>
      <c r="AD53" s="698">
        <f t="shared" si="52"/>
        <v>-4000000</v>
      </c>
      <c r="AE53" s="698">
        <f t="shared" si="52"/>
        <v>-4000000</v>
      </c>
      <c r="AF53" s="698">
        <f t="shared" si="52"/>
        <v>-4000000</v>
      </c>
      <c r="AG53" s="13"/>
    </row>
    <row r="54" spans="1:33" s="9" customFormat="1" ht="37.5" customHeight="1">
      <c r="A54" s="939" t="s">
        <v>55</v>
      </c>
      <c r="B54" s="940" t="s">
        <v>95</v>
      </c>
      <c r="C54" s="986"/>
      <c r="D54" s="986"/>
      <c r="E54" s="987"/>
      <c r="F54" s="987">
        <v>4602829.0999999996</v>
      </c>
      <c r="G54" s="943">
        <v>1533780.89</v>
      </c>
      <c r="H54" s="986">
        <v>3030729.23</v>
      </c>
      <c r="I54" s="945">
        <v>0</v>
      </c>
      <c r="J54" s="945">
        <v>0</v>
      </c>
      <c r="K54" s="945">
        <v>0</v>
      </c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698"/>
      <c r="X54" s="698"/>
      <c r="Y54" s="698"/>
      <c r="Z54" s="13"/>
      <c r="AA54" s="711"/>
      <c r="AB54" s="698"/>
      <c r="AC54" s="698"/>
      <c r="AD54" s="698"/>
      <c r="AE54" s="698"/>
      <c r="AF54" s="698"/>
      <c r="AG54" s="13"/>
    </row>
    <row r="55" spans="1:33" s="9" customFormat="1" ht="54.75" customHeight="1">
      <c r="A55" s="939" t="s">
        <v>56</v>
      </c>
      <c r="B55" s="940" t="s">
        <v>430</v>
      </c>
      <c r="C55" s="1006">
        <v>1750</v>
      </c>
      <c r="D55" s="1006"/>
      <c r="E55" s="1005"/>
      <c r="F55" s="1005"/>
      <c r="G55" s="1033"/>
      <c r="H55" s="1006"/>
      <c r="I55" s="1007"/>
      <c r="J55" s="1007"/>
      <c r="K55" s="1007"/>
      <c r="L55" s="1007"/>
      <c r="M55" s="1007"/>
      <c r="N55" s="1007"/>
      <c r="O55" s="1007"/>
      <c r="P55" s="1007"/>
      <c r="Q55" s="1007"/>
      <c r="R55" s="1007"/>
      <c r="S55" s="1007"/>
      <c r="T55" s="1007"/>
      <c r="U55" s="1007"/>
      <c r="V55" s="1007"/>
      <c r="W55" s="716"/>
      <c r="X55" s="716"/>
      <c r="Y55" s="716"/>
      <c r="Z55" s="13"/>
      <c r="AA55" s="715"/>
      <c r="AB55" s="716"/>
      <c r="AC55" s="716"/>
      <c r="AD55" s="716"/>
      <c r="AE55" s="716"/>
      <c r="AF55" s="716"/>
      <c r="AG55" s="13"/>
    </row>
    <row r="56" spans="1:33" s="5" customFormat="1" ht="9.9499999999999993" customHeight="1">
      <c r="A56" s="1008"/>
      <c r="B56" s="1009"/>
      <c r="C56" s="1010"/>
      <c r="D56" s="1010"/>
      <c r="E56" s="1010"/>
      <c r="F56" s="1010"/>
      <c r="G56" s="1034"/>
      <c r="H56" s="1010"/>
      <c r="I56" s="1010"/>
      <c r="J56" s="1010"/>
      <c r="K56" s="1010"/>
      <c r="L56" s="1010"/>
      <c r="M56" s="1010"/>
      <c r="N56" s="1010"/>
      <c r="O56" s="1010"/>
      <c r="P56" s="1010"/>
      <c r="Q56" s="1010"/>
      <c r="R56" s="1010"/>
      <c r="S56" s="1010"/>
      <c r="T56" s="1010"/>
      <c r="U56" s="1010"/>
      <c r="V56" s="1010"/>
      <c r="W56" s="717"/>
      <c r="X56" s="717"/>
      <c r="Y56" s="788"/>
      <c r="Z56" s="13"/>
      <c r="AA56" s="717"/>
      <c r="AB56" s="717"/>
      <c r="AC56" s="718"/>
      <c r="AD56" s="717"/>
      <c r="AE56" s="717"/>
      <c r="AF56" s="717"/>
      <c r="AG56" s="13"/>
    </row>
    <row r="57" spans="1:33" s="5" customFormat="1" ht="60.75" customHeight="1" thickBot="1">
      <c r="A57" s="1035" t="s">
        <v>57</v>
      </c>
      <c r="B57" s="1036" t="s">
        <v>64</v>
      </c>
      <c r="C57" s="1037">
        <f t="shared" ref="C57:D57" si="53">C59+C63+C64</f>
        <v>3696388</v>
      </c>
      <c r="D57" s="1037">
        <f t="shared" si="53"/>
        <v>5922699</v>
      </c>
      <c r="E57" s="1038">
        <f>E59+E63+E64</f>
        <v>6456093</v>
      </c>
      <c r="F57" s="1038">
        <f>F59+F63+F64</f>
        <v>6456092.5</v>
      </c>
      <c r="G57" s="1039">
        <f t="shared" ref="G57:AF57" si="54">G59+G63+G64</f>
        <v>6998867</v>
      </c>
      <c r="H57" s="1040">
        <f t="shared" si="54"/>
        <v>10160865</v>
      </c>
      <c r="I57" s="1037">
        <f t="shared" si="54"/>
        <v>0</v>
      </c>
      <c r="J57" s="1037">
        <f t="shared" si="54"/>
        <v>0</v>
      </c>
      <c r="K57" s="1037">
        <f t="shared" si="54"/>
        <v>0</v>
      </c>
      <c r="L57" s="1037">
        <f t="shared" si="54"/>
        <v>0</v>
      </c>
      <c r="M57" s="1037">
        <f t="shared" si="54"/>
        <v>0</v>
      </c>
      <c r="N57" s="1037">
        <f t="shared" si="54"/>
        <v>0</v>
      </c>
      <c r="O57" s="1037">
        <f t="shared" si="54"/>
        <v>0</v>
      </c>
      <c r="P57" s="1037">
        <f t="shared" si="54"/>
        <v>0</v>
      </c>
      <c r="Q57" s="1037">
        <f t="shared" si="54"/>
        <v>0</v>
      </c>
      <c r="R57" s="1037">
        <f t="shared" si="54"/>
        <v>0</v>
      </c>
      <c r="S57" s="1037">
        <f t="shared" si="54"/>
        <v>0</v>
      </c>
      <c r="T57" s="1037">
        <f t="shared" ref="T57:Y57" si="55">T59+T63+T64</f>
        <v>0</v>
      </c>
      <c r="U57" s="1037">
        <f t="shared" si="55"/>
        <v>0</v>
      </c>
      <c r="V57" s="1037">
        <f t="shared" si="55"/>
        <v>0</v>
      </c>
      <c r="W57" s="724">
        <f t="shared" si="55"/>
        <v>0</v>
      </c>
      <c r="X57" s="724">
        <f t="shared" si="55"/>
        <v>0</v>
      </c>
      <c r="Y57" s="724">
        <f t="shared" si="55"/>
        <v>0</v>
      </c>
      <c r="Z57" s="13"/>
      <c r="AA57" s="725">
        <f t="shared" si="54"/>
        <v>0</v>
      </c>
      <c r="AB57" s="724">
        <f t="shared" si="54"/>
        <v>0</v>
      </c>
      <c r="AC57" s="724">
        <f t="shared" si="54"/>
        <v>0</v>
      </c>
      <c r="AD57" s="724">
        <f t="shared" si="54"/>
        <v>0</v>
      </c>
      <c r="AE57" s="724">
        <f t="shared" si="54"/>
        <v>0</v>
      </c>
      <c r="AF57" s="724">
        <f t="shared" si="54"/>
        <v>0</v>
      </c>
      <c r="AG57" s="13"/>
    </row>
    <row r="58" spans="1:33" s="9" customFormat="1" ht="9.9499999999999993" customHeight="1" thickTop="1" thickBot="1">
      <c r="A58" s="1008"/>
      <c r="B58" s="1027"/>
      <c r="C58" s="1028"/>
      <c r="D58" s="1010"/>
      <c r="E58" s="1010"/>
      <c r="F58" s="1010"/>
      <c r="G58" s="1011"/>
      <c r="H58" s="1010"/>
      <c r="I58" s="1010"/>
      <c r="J58" s="1010"/>
      <c r="K58" s="1010"/>
      <c r="L58" s="1010"/>
      <c r="M58" s="1010"/>
      <c r="N58" s="1010"/>
      <c r="O58" s="1010"/>
      <c r="P58" s="1010"/>
      <c r="Q58" s="1010"/>
      <c r="R58" s="1010"/>
      <c r="S58" s="1010"/>
      <c r="T58" s="1010"/>
      <c r="U58" s="1010"/>
      <c r="V58" s="1010"/>
      <c r="W58" s="717"/>
      <c r="X58" s="717"/>
      <c r="Y58" s="788"/>
      <c r="Z58" s="13"/>
      <c r="AA58" s="717"/>
      <c r="AB58" s="717"/>
      <c r="AC58" s="718"/>
      <c r="AD58" s="717"/>
      <c r="AE58" s="717"/>
      <c r="AF58" s="717"/>
      <c r="AG58" s="13"/>
    </row>
    <row r="59" spans="1:33" s="5" customFormat="1" ht="34.5" customHeight="1" thickTop="1">
      <c r="A59" s="939" t="s">
        <v>58</v>
      </c>
      <c r="B59" s="940" t="s">
        <v>549</v>
      </c>
      <c r="C59" s="945">
        <f t="shared" ref="C59:D59" si="56">C60+C61+C62</f>
        <v>3696388</v>
      </c>
      <c r="D59" s="945">
        <f t="shared" si="56"/>
        <v>5922699</v>
      </c>
      <c r="E59" s="987">
        <f>E60+E61+E62</f>
        <v>6456093</v>
      </c>
      <c r="F59" s="987">
        <f>F60+F61+F62</f>
        <v>6456092.5</v>
      </c>
      <c r="G59" s="1031">
        <f t="shared" ref="G59:AF59" si="57">G60+G61+G62</f>
        <v>6998867</v>
      </c>
      <c r="H59" s="986">
        <f t="shared" si="57"/>
        <v>10160865</v>
      </c>
      <c r="I59" s="945"/>
      <c r="J59" s="945"/>
      <c r="K59" s="945"/>
      <c r="L59" s="945"/>
      <c r="M59" s="945"/>
      <c r="N59" s="945"/>
      <c r="O59" s="945"/>
      <c r="P59" s="945"/>
      <c r="Q59" s="945"/>
      <c r="R59" s="945"/>
      <c r="S59" s="945"/>
      <c r="T59" s="945"/>
      <c r="U59" s="945"/>
      <c r="V59" s="945"/>
      <c r="W59" s="698">
        <f t="shared" ref="W59:Y59" si="58">W60+W61+W62</f>
        <v>0</v>
      </c>
      <c r="X59" s="698">
        <f t="shared" si="58"/>
        <v>0</v>
      </c>
      <c r="Y59" s="698">
        <f t="shared" si="58"/>
        <v>0</v>
      </c>
      <c r="Z59" s="13"/>
      <c r="AA59" s="711">
        <f t="shared" si="57"/>
        <v>0</v>
      </c>
      <c r="AB59" s="698">
        <f t="shared" si="57"/>
        <v>0</v>
      </c>
      <c r="AC59" s="698">
        <f t="shared" si="57"/>
        <v>0</v>
      </c>
      <c r="AD59" s="698">
        <f t="shared" si="57"/>
        <v>0</v>
      </c>
      <c r="AE59" s="698">
        <f t="shared" si="57"/>
        <v>0</v>
      </c>
      <c r="AF59" s="698">
        <f t="shared" si="57"/>
        <v>0</v>
      </c>
      <c r="AG59" s="13"/>
    </row>
    <row r="60" spans="1:33" s="5" customFormat="1" ht="33" customHeight="1">
      <c r="A60" s="939" t="s">
        <v>59</v>
      </c>
      <c r="B60" s="940" t="s">
        <v>65</v>
      </c>
      <c r="C60" s="986">
        <v>2200000</v>
      </c>
      <c r="D60" s="986">
        <v>2200000</v>
      </c>
      <c r="E60" s="987">
        <v>2200000</v>
      </c>
      <c r="F60" s="987">
        <v>2200000</v>
      </c>
      <c r="G60" s="943">
        <v>0</v>
      </c>
      <c r="H60" s="986"/>
      <c r="I60" s="945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711">
        <f>'Planowane spłaty zobowiązań'!V26</f>
        <v>0</v>
      </c>
      <c r="X60" s="711">
        <f>'Planowane spłaty zobowiązań'!W26</f>
        <v>0</v>
      </c>
      <c r="Y60" s="711">
        <f>'Planowane spłaty zobowiązań'!X26</f>
        <v>0</v>
      </c>
      <c r="Z60" s="13"/>
      <c r="AA60" s="711"/>
      <c r="AB60" s="698"/>
      <c r="AC60" s="698"/>
      <c r="AD60" s="698"/>
      <c r="AE60" s="698"/>
      <c r="AF60" s="698"/>
      <c r="AG60" s="13"/>
    </row>
    <row r="61" spans="1:33" s="5" customFormat="1" ht="36" customHeight="1">
      <c r="A61" s="939" t="s">
        <v>60</v>
      </c>
      <c r="B61" s="940" t="s">
        <v>66</v>
      </c>
      <c r="C61" s="986">
        <v>496388</v>
      </c>
      <c r="D61" s="986">
        <v>722699</v>
      </c>
      <c r="E61" s="987">
        <v>706093</v>
      </c>
      <c r="F61" s="987">
        <v>706092.5</v>
      </c>
      <c r="G61" s="943">
        <v>698867</v>
      </c>
      <c r="H61" s="986">
        <f>'Planowane spłaty zobowiązań'!G8</f>
        <v>660865</v>
      </c>
      <c r="I61" s="986"/>
      <c r="J61" s="986"/>
      <c r="K61" s="986"/>
      <c r="L61" s="986"/>
      <c r="M61" s="986"/>
      <c r="N61" s="986"/>
      <c r="O61" s="986"/>
      <c r="P61" s="986"/>
      <c r="Q61" s="986"/>
      <c r="R61" s="986"/>
      <c r="S61" s="986"/>
      <c r="T61" s="986"/>
      <c r="U61" s="986"/>
      <c r="V61" s="986"/>
      <c r="W61" s="711">
        <f>'Planowane spłaty zobowiązań'!V8</f>
        <v>0</v>
      </c>
      <c r="X61" s="711">
        <f>'Planowane spłaty zobowiązań'!W8</f>
        <v>0</v>
      </c>
      <c r="Y61" s="711">
        <f>'Planowane spłaty zobowiązań'!X8</f>
        <v>0</v>
      </c>
      <c r="Z61" s="13"/>
      <c r="AA61" s="711"/>
      <c r="AB61" s="698"/>
      <c r="AC61" s="698"/>
      <c r="AD61" s="698"/>
      <c r="AE61" s="698"/>
      <c r="AF61" s="698"/>
      <c r="AG61" s="13"/>
    </row>
    <row r="62" spans="1:33" s="5" customFormat="1" ht="34.5" customHeight="1">
      <c r="A62" s="939" t="s">
        <v>61</v>
      </c>
      <c r="B62" s="940" t="s">
        <v>67</v>
      </c>
      <c r="C62" s="986">
        <v>1000000</v>
      </c>
      <c r="D62" s="986">
        <v>3000000</v>
      </c>
      <c r="E62" s="987">
        <v>3550000</v>
      </c>
      <c r="F62" s="987">
        <v>3550000</v>
      </c>
      <c r="G62" s="943">
        <v>6300000</v>
      </c>
      <c r="H62" s="986">
        <f>'Planowane spłaty zobowiązań'!G27</f>
        <v>9500000</v>
      </c>
      <c r="I62" s="986"/>
      <c r="J62" s="986"/>
      <c r="K62" s="986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6"/>
      <c r="W62" s="711">
        <f>'Planowane spłaty zobowiązań'!AC27</f>
        <v>0</v>
      </c>
      <c r="X62" s="711">
        <f>'Planowane spłaty zobowiązań'!AD27</f>
        <v>0</v>
      </c>
      <c r="Y62" s="711">
        <f>'Planowane spłaty zobowiązań'!AE27</f>
        <v>0</v>
      </c>
      <c r="Z62" s="13"/>
      <c r="AA62" s="711"/>
      <c r="AB62" s="698"/>
      <c r="AC62" s="698"/>
      <c r="AD62" s="698"/>
      <c r="AE62" s="698"/>
      <c r="AF62" s="698"/>
      <c r="AG62" s="13"/>
    </row>
    <row r="63" spans="1:33" s="5" customFormat="1" ht="33" customHeight="1">
      <c r="A63" s="939" t="s">
        <v>62</v>
      </c>
      <c r="B63" s="940" t="s">
        <v>68</v>
      </c>
      <c r="C63" s="986"/>
      <c r="D63" s="986"/>
      <c r="E63" s="987"/>
      <c r="F63" s="987"/>
      <c r="G63" s="943"/>
      <c r="H63" s="986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698"/>
      <c r="X63" s="698"/>
      <c r="Y63" s="698"/>
      <c r="Z63" s="13"/>
      <c r="AA63" s="711"/>
      <c r="AB63" s="698"/>
      <c r="AC63" s="698"/>
      <c r="AD63" s="698"/>
      <c r="AE63" s="698"/>
      <c r="AF63" s="698"/>
      <c r="AG63" s="13"/>
    </row>
    <row r="64" spans="1:33" s="5" customFormat="1" ht="82.5" customHeight="1" thickBot="1">
      <c r="A64" s="939" t="s">
        <v>63</v>
      </c>
      <c r="B64" s="940" t="s">
        <v>69</v>
      </c>
      <c r="C64" s="986"/>
      <c r="D64" s="986"/>
      <c r="E64" s="987"/>
      <c r="F64" s="987"/>
      <c r="G64" s="989"/>
      <c r="H64" s="986"/>
      <c r="I64" s="945"/>
      <c r="J64" s="945"/>
      <c r="K64" s="945"/>
      <c r="L64" s="945"/>
      <c r="M64" s="945"/>
      <c r="N64" s="945"/>
      <c r="O64" s="945"/>
      <c r="P64" s="945"/>
      <c r="Q64" s="945"/>
      <c r="R64" s="945"/>
      <c r="S64" s="945"/>
      <c r="T64" s="945"/>
      <c r="U64" s="945"/>
      <c r="V64" s="945"/>
      <c r="W64" s="698"/>
      <c r="X64" s="698"/>
      <c r="Y64" s="698"/>
      <c r="Z64" s="13"/>
      <c r="AA64" s="711"/>
      <c r="AB64" s="698"/>
      <c r="AC64" s="698"/>
      <c r="AD64" s="698"/>
      <c r="AE64" s="698"/>
      <c r="AF64" s="698"/>
      <c r="AG64" s="13"/>
    </row>
    <row r="65" spans="1:33" s="9" customFormat="1" ht="9.9499999999999993" customHeight="1" thickTop="1">
      <c r="A65" s="1008"/>
      <c r="B65" s="1009"/>
      <c r="C65" s="1010"/>
      <c r="D65" s="1010"/>
      <c r="E65" s="1010"/>
      <c r="F65" s="1010"/>
      <c r="G65" s="1011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1010"/>
      <c r="U65" s="1010"/>
      <c r="V65" s="1010"/>
      <c r="W65" s="717"/>
      <c r="X65" s="717"/>
      <c r="Y65" s="788"/>
      <c r="Z65" s="13"/>
      <c r="AA65" s="717"/>
      <c r="AB65" s="717"/>
      <c r="AC65" s="718"/>
      <c r="AD65" s="717"/>
      <c r="AE65" s="717"/>
      <c r="AF65" s="717"/>
      <c r="AG65" s="13"/>
    </row>
    <row r="66" spans="1:33" s="5" customFormat="1" ht="66" customHeight="1">
      <c r="A66" s="1041" t="s">
        <v>70</v>
      </c>
      <c r="B66" s="1042" t="s">
        <v>72</v>
      </c>
      <c r="C66" s="1043">
        <v>32488617.789999999</v>
      </c>
      <c r="D66" s="1043">
        <v>43071537.270000003</v>
      </c>
      <c r="E66" s="1044">
        <v>46109828</v>
      </c>
      <c r="F66" s="1044">
        <v>46109826</v>
      </c>
      <c r="G66" s="1043">
        <v>48110959.289999999</v>
      </c>
      <c r="H66" s="1043">
        <v>49250094.289999999</v>
      </c>
      <c r="I66" s="1043">
        <v>0</v>
      </c>
      <c r="J66" s="1043">
        <v>0</v>
      </c>
      <c r="K66" s="1043">
        <v>0</v>
      </c>
      <c r="L66" s="1043">
        <v>0</v>
      </c>
      <c r="M66" s="1043">
        <v>0</v>
      </c>
      <c r="N66" s="1043">
        <f t="shared" ref="N66:S66" si="59">M66+N48-N59</f>
        <v>0</v>
      </c>
      <c r="O66" s="1043">
        <f t="shared" si="59"/>
        <v>0</v>
      </c>
      <c r="P66" s="1043">
        <f t="shared" si="59"/>
        <v>0</v>
      </c>
      <c r="Q66" s="1043">
        <f t="shared" si="59"/>
        <v>0</v>
      </c>
      <c r="R66" s="1043">
        <f t="shared" si="59"/>
        <v>0</v>
      </c>
      <c r="S66" s="1043">
        <f t="shared" si="59"/>
        <v>0</v>
      </c>
      <c r="T66" s="1043">
        <f t="shared" ref="T66:Y66" si="60">S66+T48-T59</f>
        <v>0</v>
      </c>
      <c r="U66" s="1043">
        <f t="shared" si="60"/>
        <v>0</v>
      </c>
      <c r="V66" s="1043">
        <f t="shared" si="60"/>
        <v>0</v>
      </c>
      <c r="W66" s="726">
        <f t="shared" si="60"/>
        <v>0</v>
      </c>
      <c r="X66" s="726">
        <f t="shared" si="60"/>
        <v>0</v>
      </c>
      <c r="Y66" s="726">
        <f t="shared" si="60"/>
        <v>0</v>
      </c>
      <c r="Z66" s="13"/>
      <c r="AA66" s="726"/>
      <c r="AB66" s="727"/>
      <c r="AC66" s="727"/>
      <c r="AD66" s="727"/>
      <c r="AE66" s="727"/>
      <c r="AF66" s="727"/>
      <c r="AG66" s="13"/>
    </row>
    <row r="67" spans="1:33" s="5" customFormat="1" ht="9.9499999999999993" customHeight="1">
      <c r="A67" s="964"/>
      <c r="B67" s="965"/>
      <c r="C67" s="996"/>
      <c r="D67" s="966"/>
      <c r="E67" s="966"/>
      <c r="F67" s="966"/>
      <c r="G67" s="1045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0"/>
      <c r="V67" s="960"/>
      <c r="W67" s="701"/>
      <c r="X67" s="701"/>
      <c r="Y67" s="696"/>
      <c r="Z67" s="13"/>
      <c r="AA67" s="701"/>
      <c r="AB67" s="701"/>
      <c r="AC67" s="701"/>
      <c r="AD67" s="701"/>
      <c r="AE67" s="701"/>
      <c r="AF67" s="701"/>
      <c r="AG67" s="13"/>
    </row>
    <row r="68" spans="1:33" s="5" customFormat="1" ht="60" hidden="1" customHeight="1" thickTop="1">
      <c r="A68" s="939" t="s">
        <v>71</v>
      </c>
      <c r="B68" s="762" t="s">
        <v>96</v>
      </c>
      <c r="C68" s="1046"/>
      <c r="D68" s="986"/>
      <c r="E68" s="1047"/>
      <c r="F68" s="1047"/>
      <c r="G68" s="1048"/>
      <c r="H68" s="986"/>
      <c r="I68" s="945"/>
      <c r="J68" s="1049"/>
      <c r="K68" s="1049"/>
      <c r="L68" s="1049"/>
      <c r="M68" s="1049"/>
      <c r="N68" s="1049"/>
      <c r="O68" s="1049"/>
      <c r="P68" s="1049"/>
      <c r="Q68" s="1049"/>
      <c r="R68" s="1049"/>
      <c r="S68" s="1049"/>
      <c r="T68" s="1049"/>
      <c r="U68" s="1049"/>
      <c r="V68" s="1049"/>
      <c r="W68" s="728"/>
      <c r="X68" s="728"/>
      <c r="Y68" s="728"/>
      <c r="Z68" s="13"/>
      <c r="AA68" s="696"/>
      <c r="AB68" s="728"/>
      <c r="AC68" s="728"/>
      <c r="AD68" s="728"/>
      <c r="AE68" s="728"/>
      <c r="AF68" s="728"/>
      <c r="AG68" s="13"/>
    </row>
    <row r="69" spans="1:33" s="9" customFormat="1" ht="26.25" hidden="1">
      <c r="A69" s="939"/>
      <c r="B69" s="762" t="s">
        <v>4</v>
      </c>
      <c r="C69" s="1050"/>
      <c r="D69" s="1032"/>
      <c r="E69" s="1051"/>
      <c r="F69" s="1051"/>
      <c r="G69" s="1052"/>
      <c r="H69" s="1053"/>
      <c r="I69" s="1054"/>
      <c r="J69" s="1054"/>
      <c r="K69" s="1054"/>
      <c r="L69" s="1054"/>
      <c r="M69" s="1054"/>
      <c r="N69" s="1054"/>
      <c r="O69" s="1054"/>
      <c r="P69" s="1054"/>
      <c r="Q69" s="1054"/>
      <c r="R69" s="1054"/>
      <c r="S69" s="1054"/>
      <c r="T69" s="1054"/>
      <c r="U69" s="1054"/>
      <c r="V69" s="1054"/>
      <c r="W69" s="730"/>
      <c r="X69" s="730"/>
      <c r="Y69" s="730"/>
      <c r="Z69" s="13"/>
      <c r="AA69" s="729"/>
      <c r="AB69" s="730"/>
      <c r="AC69" s="730"/>
      <c r="AD69" s="730"/>
      <c r="AE69" s="730"/>
      <c r="AF69" s="730"/>
      <c r="AG69" s="13"/>
    </row>
    <row r="70" spans="1:33" s="9" customFormat="1" ht="54" hidden="1">
      <c r="A70" s="939"/>
      <c r="B70" s="762" t="s">
        <v>338</v>
      </c>
      <c r="C70" s="1046"/>
      <c r="D70" s="986"/>
      <c r="E70" s="1047"/>
      <c r="F70" s="1047"/>
      <c r="G70" s="1055"/>
      <c r="H70" s="940"/>
      <c r="I70" s="1049"/>
      <c r="J70" s="1049"/>
      <c r="K70" s="1049"/>
      <c r="L70" s="1049"/>
      <c r="M70" s="1049"/>
      <c r="N70" s="1049"/>
      <c r="O70" s="1049"/>
      <c r="P70" s="1049"/>
      <c r="Q70" s="1049"/>
      <c r="R70" s="1049"/>
      <c r="S70" s="1049"/>
      <c r="T70" s="1049"/>
      <c r="U70" s="1049"/>
      <c r="V70" s="1049"/>
      <c r="W70" s="728"/>
      <c r="X70" s="728"/>
      <c r="Y70" s="728"/>
      <c r="Z70" s="13"/>
      <c r="AA70" s="696"/>
      <c r="AB70" s="728"/>
      <c r="AC70" s="728"/>
      <c r="AD70" s="728"/>
      <c r="AE70" s="728"/>
      <c r="AF70" s="731" t="s">
        <v>5</v>
      </c>
      <c r="AG70" s="13"/>
    </row>
    <row r="71" spans="1:33" s="9" customFormat="1" ht="36" hidden="1">
      <c r="A71" s="939"/>
      <c r="B71" s="762" t="s">
        <v>339</v>
      </c>
      <c r="C71" s="1046"/>
      <c r="D71" s="986"/>
      <c r="E71" s="1047"/>
      <c r="F71" s="1047"/>
      <c r="G71" s="1055"/>
      <c r="H71" s="940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728"/>
      <c r="X71" s="728"/>
      <c r="Y71" s="728"/>
      <c r="Z71" s="13"/>
      <c r="AA71" s="696"/>
      <c r="AB71" s="728"/>
      <c r="AC71" s="728"/>
      <c r="AD71" s="728"/>
      <c r="AE71" s="728"/>
      <c r="AF71" s="731" t="s">
        <v>5</v>
      </c>
      <c r="AG71" s="13"/>
    </row>
    <row r="72" spans="1:33" s="9" customFormat="1" ht="54" hidden="1">
      <c r="A72" s="939"/>
      <c r="B72" s="762" t="s">
        <v>340</v>
      </c>
      <c r="C72" s="1046"/>
      <c r="D72" s="986"/>
      <c r="E72" s="1047"/>
      <c r="F72" s="1047"/>
      <c r="G72" s="1055"/>
      <c r="H72" s="940"/>
      <c r="I72" s="1049"/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728"/>
      <c r="X72" s="728"/>
      <c r="Y72" s="728"/>
      <c r="Z72" s="13"/>
      <c r="AA72" s="696"/>
      <c r="AB72" s="728"/>
      <c r="AC72" s="728"/>
      <c r="AD72" s="728"/>
      <c r="AE72" s="728"/>
      <c r="AF72" s="731" t="s">
        <v>5</v>
      </c>
      <c r="AG72" s="13"/>
    </row>
    <row r="73" spans="1:33" s="9" customFormat="1" ht="90" hidden="1">
      <c r="A73" s="939"/>
      <c r="B73" s="762" t="s">
        <v>341</v>
      </c>
      <c r="C73" s="1046"/>
      <c r="D73" s="986"/>
      <c r="E73" s="1047"/>
      <c r="F73" s="1047"/>
      <c r="G73" s="1055"/>
      <c r="H73" s="940"/>
      <c r="I73" s="1049"/>
      <c r="J73" s="1049"/>
      <c r="K73" s="1049"/>
      <c r="L73" s="1049"/>
      <c r="M73" s="1049"/>
      <c r="N73" s="1049"/>
      <c r="O73" s="1049"/>
      <c r="P73" s="1049"/>
      <c r="Q73" s="1049"/>
      <c r="R73" s="1049"/>
      <c r="S73" s="1049"/>
      <c r="T73" s="1049"/>
      <c r="U73" s="1049"/>
      <c r="V73" s="1049"/>
      <c r="W73" s="728"/>
      <c r="X73" s="728"/>
      <c r="Y73" s="728"/>
      <c r="Z73" s="13"/>
      <c r="AA73" s="696"/>
      <c r="AB73" s="728"/>
      <c r="AC73" s="728"/>
      <c r="AD73" s="728"/>
      <c r="AE73" s="728"/>
      <c r="AF73" s="728"/>
      <c r="AG73" s="13"/>
    </row>
    <row r="74" spans="1:33" s="9" customFormat="1" ht="36.75" hidden="1" thickBot="1">
      <c r="A74" s="939"/>
      <c r="B74" s="762" t="s">
        <v>342</v>
      </c>
      <c r="C74" s="1046"/>
      <c r="D74" s="986"/>
      <c r="E74" s="1047"/>
      <c r="F74" s="1047"/>
      <c r="G74" s="1056"/>
      <c r="H74" s="940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728"/>
      <c r="X74" s="728"/>
      <c r="Y74" s="728"/>
      <c r="Z74" s="13"/>
      <c r="AA74" s="696"/>
      <c r="AB74" s="728"/>
      <c r="AC74" s="728"/>
      <c r="AD74" s="728"/>
      <c r="AE74" s="728"/>
      <c r="AF74" s="728"/>
      <c r="AG74" s="13"/>
    </row>
    <row r="75" spans="1:33" s="9" customFormat="1" ht="21.75" customHeight="1">
      <c r="A75" s="1008"/>
      <c r="B75" s="1115" t="s">
        <v>432</v>
      </c>
      <c r="C75" s="1057">
        <f t="shared" ref="C75:Y75" si="61">C7+C46-C8-C57</f>
        <v>-153571.30000001192</v>
      </c>
      <c r="D75" s="1057">
        <f t="shared" si="61"/>
        <v>348486.12999999523</v>
      </c>
      <c r="E75" s="1057">
        <f t="shared" si="61"/>
        <v>-2853626</v>
      </c>
      <c r="F75" s="1057">
        <f t="shared" si="61"/>
        <v>1543044.6100000143</v>
      </c>
      <c r="G75" s="896">
        <f t="shared" si="61"/>
        <v>3041349.1599999964</v>
      </c>
      <c r="H75" s="895">
        <f t="shared" si="61"/>
        <v>1336697.8400000036</v>
      </c>
      <c r="I75" s="1205">
        <f t="shared" si="61"/>
        <v>0</v>
      </c>
      <c r="J75" s="1205">
        <f t="shared" si="61"/>
        <v>0</v>
      </c>
      <c r="K75" s="895">
        <f t="shared" si="61"/>
        <v>0</v>
      </c>
      <c r="L75" s="895">
        <f t="shared" si="61"/>
        <v>0</v>
      </c>
      <c r="M75" s="895">
        <f t="shared" si="61"/>
        <v>0</v>
      </c>
      <c r="N75" s="895">
        <f t="shared" si="61"/>
        <v>0</v>
      </c>
      <c r="O75" s="895">
        <f t="shared" si="61"/>
        <v>0</v>
      </c>
      <c r="P75" s="895">
        <f t="shared" si="61"/>
        <v>0</v>
      </c>
      <c r="Q75" s="895">
        <f t="shared" si="61"/>
        <v>0</v>
      </c>
      <c r="R75" s="895">
        <f t="shared" si="61"/>
        <v>0</v>
      </c>
      <c r="S75" s="895">
        <f t="shared" si="61"/>
        <v>0</v>
      </c>
      <c r="T75" s="895">
        <f t="shared" si="61"/>
        <v>0</v>
      </c>
      <c r="U75" s="895">
        <f t="shared" si="61"/>
        <v>0</v>
      </c>
      <c r="V75" s="895">
        <f t="shared" si="61"/>
        <v>0</v>
      </c>
      <c r="W75" s="732">
        <f t="shared" si="61"/>
        <v>195613784</v>
      </c>
      <c r="X75" s="732">
        <f t="shared" si="61"/>
        <v>195613784</v>
      </c>
      <c r="Y75" s="789">
        <f t="shared" si="61"/>
        <v>196106795</v>
      </c>
      <c r="Z75" s="13"/>
      <c r="AA75" s="733"/>
      <c r="AB75" s="733"/>
      <c r="AC75" s="733"/>
      <c r="AD75" s="733"/>
      <c r="AE75" s="733"/>
      <c r="AF75" s="733"/>
      <c r="AG75" s="13"/>
    </row>
    <row r="76" spans="1:33" s="11" customFormat="1" ht="30" hidden="1" customHeight="1">
      <c r="A76" s="1058"/>
      <c r="B76" s="1059" t="s">
        <v>6</v>
      </c>
      <c r="C76" s="1060"/>
      <c r="D76" s="1060"/>
      <c r="E76" s="1061"/>
      <c r="F76" s="1061"/>
      <c r="G76" s="1062"/>
      <c r="H76" s="1062"/>
      <c r="I76" s="1062"/>
      <c r="J76" s="1062"/>
      <c r="K76" s="1062"/>
      <c r="L76" s="1062"/>
      <c r="M76" s="1062"/>
      <c r="N76" s="1062"/>
      <c r="O76" s="1062"/>
      <c r="P76" s="1062">
        <v>0</v>
      </c>
      <c r="Q76" s="1062"/>
      <c r="R76" s="1062"/>
      <c r="S76" s="1062"/>
      <c r="T76" s="1062"/>
      <c r="U76" s="1062"/>
      <c r="V76" s="1062"/>
      <c r="W76" s="734"/>
      <c r="X76" s="734"/>
      <c r="Y76" s="790"/>
      <c r="Z76" s="15"/>
      <c r="AA76" s="735"/>
      <c r="AB76" s="735"/>
      <c r="AC76" s="735"/>
      <c r="AD76" s="735"/>
      <c r="AE76" s="735"/>
      <c r="AF76" s="735"/>
      <c r="AG76" s="15"/>
    </row>
    <row r="77" spans="1:33" s="11" customFormat="1" ht="26.25" hidden="1">
      <c r="A77" s="1058"/>
      <c r="B77" s="1063" t="s">
        <v>352</v>
      </c>
      <c r="C77" s="1063"/>
      <c r="D77" s="1063"/>
      <c r="E77" s="1064"/>
      <c r="F77" s="1064"/>
      <c r="G77" s="1064">
        <f>G40</f>
        <v>0</v>
      </c>
      <c r="H77" s="1064">
        <f t="shared" ref="H77:AF77" si="62">H40</f>
        <v>0</v>
      </c>
      <c r="I77" s="1064">
        <f t="shared" si="62"/>
        <v>0</v>
      </c>
      <c r="J77" s="1064">
        <v>0</v>
      </c>
      <c r="K77" s="1064">
        <v>0</v>
      </c>
      <c r="L77" s="1064">
        <v>0</v>
      </c>
      <c r="M77" s="1064">
        <v>0</v>
      </c>
      <c r="N77" s="1064">
        <v>0</v>
      </c>
      <c r="O77" s="1064">
        <v>0</v>
      </c>
      <c r="P77" s="1064">
        <v>0</v>
      </c>
      <c r="Q77" s="1064">
        <v>0</v>
      </c>
      <c r="R77" s="1064">
        <v>0</v>
      </c>
      <c r="S77" s="1064">
        <v>0</v>
      </c>
      <c r="T77" s="1064">
        <v>0</v>
      </c>
      <c r="U77" s="1064">
        <v>0</v>
      </c>
      <c r="V77" s="1064">
        <v>0</v>
      </c>
      <c r="W77" s="736">
        <f t="shared" ref="W77:Y77" si="63">W40</f>
        <v>195613784</v>
      </c>
      <c r="X77" s="736">
        <f t="shared" si="63"/>
        <v>1013784</v>
      </c>
      <c r="Y77" s="736">
        <f t="shared" si="63"/>
        <v>506795</v>
      </c>
      <c r="Z77" s="15"/>
      <c r="AA77" s="791">
        <f t="shared" si="62"/>
        <v>-4000000</v>
      </c>
      <c r="AB77" s="737">
        <f t="shared" si="62"/>
        <v>-4000000</v>
      </c>
      <c r="AC77" s="737">
        <f t="shared" si="62"/>
        <v>-4000000</v>
      </c>
      <c r="AD77" s="737">
        <f t="shared" si="62"/>
        <v>-4000000</v>
      </c>
      <c r="AE77" s="737">
        <f t="shared" si="62"/>
        <v>-4000000</v>
      </c>
      <c r="AF77" s="737">
        <f t="shared" si="62"/>
        <v>-4000000</v>
      </c>
      <c r="AG77" s="15"/>
    </row>
    <row r="78" spans="1:33" s="11" customFormat="1" ht="78.75" hidden="1">
      <c r="A78" s="1058"/>
      <c r="B78" s="1063" t="s">
        <v>7</v>
      </c>
      <c r="C78" s="1063"/>
      <c r="D78" s="1063"/>
      <c r="E78" s="1064"/>
      <c r="F78" s="1064"/>
      <c r="G78" s="1064">
        <f>G54</f>
        <v>1533780.89</v>
      </c>
      <c r="H78" s="1064">
        <f t="shared" ref="H78:AF78" si="64">H54</f>
        <v>3030729.23</v>
      </c>
      <c r="I78" s="1064">
        <f t="shared" si="64"/>
        <v>0</v>
      </c>
      <c r="J78" s="1064">
        <f t="shared" si="64"/>
        <v>0</v>
      </c>
      <c r="K78" s="1064">
        <f t="shared" si="64"/>
        <v>0</v>
      </c>
      <c r="L78" s="1064">
        <f t="shared" si="64"/>
        <v>0</v>
      </c>
      <c r="M78" s="1064">
        <f t="shared" si="64"/>
        <v>0</v>
      </c>
      <c r="N78" s="1064">
        <f t="shared" si="64"/>
        <v>0</v>
      </c>
      <c r="O78" s="1064">
        <f t="shared" si="64"/>
        <v>0</v>
      </c>
      <c r="P78" s="1064">
        <f t="shared" si="64"/>
        <v>0</v>
      </c>
      <c r="Q78" s="1064">
        <f t="shared" si="64"/>
        <v>0</v>
      </c>
      <c r="R78" s="1064">
        <f t="shared" si="64"/>
        <v>0</v>
      </c>
      <c r="S78" s="1064">
        <f t="shared" si="64"/>
        <v>0</v>
      </c>
      <c r="T78" s="1064">
        <f t="shared" ref="T78:Y78" si="65">T54</f>
        <v>0</v>
      </c>
      <c r="U78" s="1064">
        <f t="shared" si="65"/>
        <v>0</v>
      </c>
      <c r="V78" s="1064">
        <f t="shared" si="65"/>
        <v>0</v>
      </c>
      <c r="W78" s="736">
        <f t="shared" si="65"/>
        <v>0</v>
      </c>
      <c r="X78" s="736">
        <f t="shared" si="65"/>
        <v>0</v>
      </c>
      <c r="Y78" s="736">
        <f t="shared" si="65"/>
        <v>0</v>
      </c>
      <c r="Z78" s="15"/>
      <c r="AA78" s="791">
        <f t="shared" si="64"/>
        <v>0</v>
      </c>
      <c r="AB78" s="737">
        <f t="shared" si="64"/>
        <v>0</v>
      </c>
      <c r="AC78" s="737">
        <f t="shared" si="64"/>
        <v>0</v>
      </c>
      <c r="AD78" s="737">
        <f t="shared" si="64"/>
        <v>0</v>
      </c>
      <c r="AE78" s="737">
        <f t="shared" si="64"/>
        <v>0</v>
      </c>
      <c r="AF78" s="737">
        <f t="shared" si="64"/>
        <v>0</v>
      </c>
      <c r="AG78" s="15"/>
    </row>
    <row r="79" spans="1:33" s="11" customFormat="1" ht="52.5" hidden="1">
      <c r="A79" s="1058"/>
      <c r="B79" s="1063" t="s">
        <v>8</v>
      </c>
      <c r="C79" s="1063"/>
      <c r="D79" s="1063"/>
      <c r="E79" s="1064"/>
      <c r="F79" s="1064"/>
      <c r="G79" s="1064">
        <f>G77+G78</f>
        <v>1533780.89</v>
      </c>
      <c r="H79" s="1064">
        <f t="shared" ref="H79:AF79" si="66">H77+H78</f>
        <v>3030729.23</v>
      </c>
      <c r="I79" s="1064">
        <f t="shared" si="66"/>
        <v>0</v>
      </c>
      <c r="J79" s="1064">
        <f t="shared" si="66"/>
        <v>0</v>
      </c>
      <c r="K79" s="1064">
        <f t="shared" si="66"/>
        <v>0</v>
      </c>
      <c r="L79" s="1064">
        <f t="shared" si="66"/>
        <v>0</v>
      </c>
      <c r="M79" s="1064">
        <f t="shared" si="66"/>
        <v>0</v>
      </c>
      <c r="N79" s="1064">
        <f t="shared" si="66"/>
        <v>0</v>
      </c>
      <c r="O79" s="1064">
        <f t="shared" si="66"/>
        <v>0</v>
      </c>
      <c r="P79" s="1064">
        <f t="shared" si="66"/>
        <v>0</v>
      </c>
      <c r="Q79" s="1064">
        <f t="shared" si="66"/>
        <v>0</v>
      </c>
      <c r="R79" s="1064">
        <f t="shared" si="66"/>
        <v>0</v>
      </c>
      <c r="S79" s="1064">
        <f t="shared" si="66"/>
        <v>0</v>
      </c>
      <c r="T79" s="1064">
        <f t="shared" ref="T79:Y79" si="67">T77+T78</f>
        <v>0</v>
      </c>
      <c r="U79" s="1064">
        <f t="shared" si="67"/>
        <v>0</v>
      </c>
      <c r="V79" s="1064">
        <f t="shared" si="67"/>
        <v>0</v>
      </c>
      <c r="W79" s="736">
        <f t="shared" si="67"/>
        <v>195613784</v>
      </c>
      <c r="X79" s="736">
        <f t="shared" si="67"/>
        <v>1013784</v>
      </c>
      <c r="Y79" s="736">
        <f t="shared" si="67"/>
        <v>506795</v>
      </c>
      <c r="Z79" s="15"/>
      <c r="AA79" s="791">
        <f t="shared" si="66"/>
        <v>-4000000</v>
      </c>
      <c r="AB79" s="737">
        <f t="shared" si="66"/>
        <v>-4000000</v>
      </c>
      <c r="AC79" s="737">
        <f t="shared" si="66"/>
        <v>-4000000</v>
      </c>
      <c r="AD79" s="737">
        <f t="shared" si="66"/>
        <v>-4000000</v>
      </c>
      <c r="AE79" s="737">
        <f t="shared" si="66"/>
        <v>-4000000</v>
      </c>
      <c r="AF79" s="737">
        <f t="shared" si="66"/>
        <v>-4000000</v>
      </c>
      <c r="AG79" s="15"/>
    </row>
    <row r="80" spans="1:33" s="9" customFormat="1" ht="20.25" customHeight="1">
      <c r="A80" s="1065"/>
      <c r="B80" s="1066"/>
      <c r="C80" s="1067"/>
      <c r="D80" s="1067"/>
      <c r="E80" s="1068"/>
      <c r="F80" s="1068"/>
      <c r="G80" s="1069"/>
      <c r="H80" s="1069"/>
      <c r="I80" s="1069"/>
      <c r="J80" s="1069"/>
      <c r="K80" s="1069"/>
      <c r="L80" s="1069"/>
      <c r="M80" s="1069"/>
      <c r="N80" s="1069"/>
      <c r="O80" s="1069"/>
      <c r="P80" s="1069"/>
      <c r="Q80" s="1069"/>
      <c r="R80" s="1069"/>
      <c r="S80" s="1069"/>
      <c r="T80" s="1069"/>
      <c r="U80" s="1069"/>
      <c r="V80" s="1069"/>
      <c r="W80" s="739"/>
      <c r="X80" s="739"/>
      <c r="Y80" s="738"/>
      <c r="Z80" s="13"/>
      <c r="AA80" s="739"/>
      <c r="AB80" s="739"/>
      <c r="AC80" s="739"/>
      <c r="AD80" s="739"/>
      <c r="AE80" s="739"/>
      <c r="AF80" s="739"/>
      <c r="AG80" s="13"/>
    </row>
    <row r="81" spans="1:33" s="9" customFormat="1" ht="33.75" customHeight="1">
      <c r="A81" s="1249"/>
      <c r="B81" s="1623" t="s">
        <v>9</v>
      </c>
      <c r="C81" s="1624"/>
      <c r="D81" s="1624"/>
      <c r="E81" s="1624"/>
      <c r="F81" s="1624"/>
      <c r="G81" s="1624"/>
      <c r="H81" s="1624"/>
      <c r="I81" s="1624"/>
      <c r="J81" s="1069"/>
      <c r="K81" s="1069"/>
      <c r="L81" s="1069"/>
      <c r="M81" s="1069"/>
      <c r="N81" s="1069"/>
      <c r="O81" s="1069"/>
      <c r="P81" s="1069"/>
      <c r="Q81" s="1069"/>
      <c r="R81" s="1069"/>
      <c r="S81" s="1069"/>
      <c r="T81" s="1069"/>
      <c r="U81" s="1069"/>
      <c r="V81" s="1069"/>
      <c r="W81" s="739"/>
      <c r="X81" s="739"/>
      <c r="Y81" s="738"/>
      <c r="Z81" s="13"/>
      <c r="AA81" s="739"/>
      <c r="AB81" s="739"/>
      <c r="AC81" s="739"/>
      <c r="AD81" s="739"/>
      <c r="AE81" s="739"/>
      <c r="AF81" s="739"/>
      <c r="AG81" s="13"/>
    </row>
    <row r="82" spans="1:33" s="9" customFormat="1" ht="9.9499999999999993" customHeight="1">
      <c r="A82" s="1070"/>
      <c r="B82" s="1114"/>
      <c r="C82" s="1071"/>
      <c r="D82" s="1071"/>
      <c r="E82" s="1068"/>
      <c r="F82" s="1068"/>
      <c r="G82" s="1069"/>
      <c r="H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739"/>
      <c r="X82" s="739"/>
      <c r="Y82" s="738"/>
      <c r="Z82" s="13"/>
      <c r="AA82" s="739"/>
      <c r="AB82" s="739"/>
      <c r="AC82" s="739"/>
      <c r="AD82" s="739"/>
      <c r="AE82" s="739"/>
      <c r="AF82" s="739"/>
      <c r="AG82" s="13"/>
    </row>
    <row r="83" spans="1:33" s="9" customFormat="1" ht="37.5" customHeight="1">
      <c r="A83" s="1070"/>
      <c r="B83" s="1242" t="s">
        <v>545</v>
      </c>
      <c r="C83" s="1243"/>
      <c r="D83" s="1243"/>
      <c r="E83" s="1244"/>
      <c r="F83" s="1244"/>
      <c r="G83" s="1245"/>
      <c r="H83" s="1245"/>
      <c r="I83" s="1245"/>
      <c r="J83" s="1069"/>
      <c r="K83" s="1069"/>
      <c r="L83" s="1069"/>
      <c r="M83" s="1069"/>
      <c r="N83" s="1069"/>
      <c r="O83" s="1069"/>
      <c r="P83" s="1069"/>
      <c r="Q83" s="1069"/>
      <c r="R83" s="1069"/>
      <c r="S83" s="1069"/>
      <c r="T83" s="1069"/>
      <c r="U83" s="1069"/>
      <c r="V83" s="1069"/>
      <c r="W83" s="739"/>
      <c r="X83" s="739"/>
      <c r="Y83" s="738"/>
      <c r="Z83" s="13"/>
      <c r="AA83" s="739"/>
      <c r="AB83" s="739"/>
      <c r="AC83" s="739"/>
      <c r="AD83" s="739"/>
      <c r="AE83" s="739"/>
      <c r="AF83" s="739"/>
      <c r="AG83" s="13"/>
    </row>
    <row r="84" spans="1:33" s="9" customFormat="1" ht="9.9499999999999993" customHeight="1" thickBot="1">
      <c r="A84" s="1070"/>
      <c r="B84" s="1071"/>
      <c r="C84" s="1071"/>
      <c r="D84" s="1071"/>
      <c r="E84" s="1068"/>
      <c r="F84" s="1068"/>
      <c r="G84" s="1069"/>
      <c r="H84" s="1069"/>
      <c r="I84" s="1069"/>
      <c r="J84" s="1069"/>
      <c r="K84" s="1069"/>
      <c r="L84" s="1069"/>
      <c r="M84" s="1069"/>
      <c r="N84" s="1069"/>
      <c r="O84" s="1069"/>
      <c r="P84" s="1069"/>
      <c r="Q84" s="1069"/>
      <c r="R84" s="1069"/>
      <c r="S84" s="1069"/>
      <c r="T84" s="1069"/>
      <c r="U84" s="1069"/>
      <c r="V84" s="1069"/>
      <c r="W84" s="739"/>
      <c r="X84" s="739"/>
      <c r="Y84" s="738"/>
      <c r="Z84" s="13"/>
      <c r="AA84" s="739"/>
      <c r="AB84" s="739"/>
      <c r="AC84" s="739"/>
      <c r="AD84" s="739"/>
      <c r="AE84" s="739"/>
      <c r="AF84" s="739"/>
      <c r="AG84" s="13"/>
    </row>
    <row r="85" spans="1:33" s="9" customFormat="1" ht="77.25" thickTop="1">
      <c r="A85" s="1065"/>
      <c r="B85" s="1072" t="s">
        <v>10</v>
      </c>
      <c r="C85" s="1073"/>
      <c r="D85" s="1073"/>
      <c r="E85" s="1074"/>
      <c r="F85" s="1074"/>
      <c r="G85" s="1075">
        <f t="shared" ref="G85:Y85" si="68">ROUND((SUM(G17+G19+G57)/G7*100),2)</f>
        <v>7</v>
      </c>
      <c r="H85" s="1076">
        <f t="shared" si="68"/>
        <v>8.59</v>
      </c>
      <c r="I85" s="1077"/>
      <c r="J85" s="1078"/>
      <c r="K85" s="1077"/>
      <c r="L85" s="1077"/>
      <c r="M85" s="1077"/>
      <c r="N85" s="1077"/>
      <c r="O85" s="1077"/>
      <c r="P85" s="1077"/>
      <c r="Q85" s="1077"/>
      <c r="R85" s="1077"/>
      <c r="S85" s="1077"/>
      <c r="T85" s="1077"/>
      <c r="U85" s="1077"/>
      <c r="V85" s="1077"/>
      <c r="W85" s="740">
        <f t="shared" si="68"/>
        <v>0</v>
      </c>
      <c r="X85" s="740">
        <f t="shared" si="68"/>
        <v>0</v>
      </c>
      <c r="Y85" s="740">
        <f t="shared" si="68"/>
        <v>0</v>
      </c>
      <c r="Z85" s="13"/>
      <c r="AA85" s="752">
        <v>1.29</v>
      </c>
      <c r="AB85" s="741">
        <v>1.29</v>
      </c>
      <c r="AC85" s="741">
        <v>1.29</v>
      </c>
      <c r="AD85" s="741">
        <v>1.29</v>
      </c>
      <c r="AE85" s="741">
        <v>1.29</v>
      </c>
      <c r="AF85" s="741" t="s">
        <v>5</v>
      </c>
      <c r="AG85" s="13"/>
    </row>
    <row r="86" spans="1:33" s="9" customFormat="1" ht="55.5" customHeight="1">
      <c r="A86" s="1079"/>
      <c r="B86" s="1080" t="s">
        <v>11</v>
      </c>
      <c r="C86" s="1073"/>
      <c r="D86" s="1073"/>
      <c r="E86" s="1074"/>
      <c r="F86" s="1074"/>
      <c r="G86" s="1081"/>
      <c r="H86" s="1076"/>
      <c r="I86" s="1077"/>
      <c r="J86" s="1077"/>
      <c r="K86" s="1077"/>
      <c r="L86" s="1077"/>
      <c r="M86" s="1077"/>
      <c r="N86" s="1077"/>
      <c r="O86" s="1077"/>
      <c r="P86" s="1077"/>
      <c r="Q86" s="1077"/>
      <c r="R86" s="1077"/>
      <c r="S86" s="1082"/>
      <c r="T86" s="1082"/>
      <c r="U86" s="1082"/>
      <c r="V86" s="1082"/>
      <c r="W86" s="741"/>
      <c r="X86" s="741"/>
      <c r="Y86" s="741"/>
      <c r="Z86" s="13"/>
      <c r="AA86" s="752"/>
      <c r="AB86" s="741"/>
      <c r="AC86" s="741"/>
      <c r="AD86" s="741"/>
      <c r="AE86" s="741"/>
      <c r="AF86" s="741" t="s">
        <v>5</v>
      </c>
      <c r="AG86" s="13"/>
    </row>
    <row r="87" spans="1:33" s="9" customFormat="1" ht="51">
      <c r="A87" s="1070"/>
      <c r="B87" s="1083" t="s">
        <v>12</v>
      </c>
      <c r="C87" s="1073"/>
      <c r="D87" s="1073"/>
      <c r="E87" s="1074"/>
      <c r="F87" s="1074"/>
      <c r="G87" s="1081">
        <f t="shared" ref="G87:Y87" si="69">ROUND((G66/G7*100),2)</f>
        <v>29.63</v>
      </c>
      <c r="H87" s="1076">
        <f t="shared" si="69"/>
        <v>28.64</v>
      </c>
      <c r="I87" s="1077"/>
      <c r="J87" s="1077"/>
      <c r="K87" s="1077"/>
      <c r="L87" s="1077"/>
      <c r="M87" s="1077"/>
      <c r="N87" s="1077"/>
      <c r="O87" s="1077"/>
      <c r="P87" s="1077"/>
      <c r="Q87" s="1077"/>
      <c r="R87" s="1077"/>
      <c r="S87" s="1082"/>
      <c r="T87" s="1082"/>
      <c r="U87" s="1082"/>
      <c r="V87" s="1082"/>
      <c r="W87" s="741">
        <f t="shared" si="69"/>
        <v>0</v>
      </c>
      <c r="X87" s="741">
        <f t="shared" si="69"/>
        <v>0</v>
      </c>
      <c r="Y87" s="741">
        <f t="shared" si="69"/>
        <v>0</v>
      </c>
      <c r="Z87" s="13"/>
      <c r="AA87" s="752">
        <f>ROUND((AA66/AA7*100),2)</f>
        <v>0</v>
      </c>
      <c r="AB87" s="741">
        <f>ROUND((AB66/AB7*100),2)</f>
        <v>0</v>
      </c>
      <c r="AC87" s="741">
        <f>ROUND((AC66/AC7*100),2)</f>
        <v>0</v>
      </c>
      <c r="AD87" s="741">
        <f>ROUND((AD66/AD7*100),2)</f>
        <v>0</v>
      </c>
      <c r="AE87" s="741">
        <f>ROUND((AE66/AE7*100),2)</f>
        <v>0</v>
      </c>
      <c r="AF87" s="741" t="s">
        <v>5</v>
      </c>
      <c r="AG87" s="13"/>
    </row>
    <row r="88" spans="1:33" s="9" customFormat="1" ht="51.75" thickBot="1">
      <c r="A88" s="1079"/>
      <c r="B88" s="1080" t="s">
        <v>13</v>
      </c>
      <c r="C88" s="1073"/>
      <c r="D88" s="1073"/>
      <c r="E88" s="1074"/>
      <c r="F88" s="1074"/>
      <c r="G88" s="1084"/>
      <c r="H88" s="1076"/>
      <c r="I88" s="1077"/>
      <c r="J88" s="1077"/>
      <c r="K88" s="1077"/>
      <c r="L88" s="1077"/>
      <c r="M88" s="1077"/>
      <c r="N88" s="1077"/>
      <c r="O88" s="1077"/>
      <c r="P88" s="1077"/>
      <c r="Q88" s="1077"/>
      <c r="R88" s="1077"/>
      <c r="S88" s="1082"/>
      <c r="T88" s="1082"/>
      <c r="U88" s="1082"/>
      <c r="V88" s="1082"/>
      <c r="W88" s="741"/>
      <c r="X88" s="741"/>
      <c r="Y88" s="741"/>
      <c r="Z88" s="13"/>
      <c r="AA88" s="752"/>
      <c r="AB88" s="741"/>
      <c r="AC88" s="741"/>
      <c r="AD88" s="741"/>
      <c r="AE88" s="741"/>
      <c r="AF88" s="741" t="s">
        <v>5</v>
      </c>
      <c r="AG88" s="13"/>
    </row>
    <row r="89" spans="1:33" s="9" customFormat="1" ht="12.75" customHeight="1" thickTop="1">
      <c r="A89" s="1070"/>
      <c r="B89" s="1067"/>
      <c r="C89" s="1067"/>
      <c r="D89" s="1067"/>
      <c r="E89" s="1068"/>
      <c r="F89" s="1068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69"/>
      <c r="T89" s="1069"/>
      <c r="U89" s="1069"/>
      <c r="V89" s="1069"/>
      <c r="W89" s="739"/>
      <c r="X89" s="739"/>
      <c r="Y89" s="738"/>
      <c r="Z89" s="13"/>
      <c r="AA89" s="739"/>
      <c r="AB89" s="739"/>
      <c r="AC89" s="739"/>
      <c r="AD89" s="739"/>
      <c r="AE89" s="739"/>
      <c r="AF89" s="739"/>
      <c r="AG89" s="13"/>
    </row>
    <row r="90" spans="1:33" s="9" customFormat="1" ht="33" customHeight="1">
      <c r="A90" s="1070"/>
      <c r="B90" s="1246" t="s">
        <v>544</v>
      </c>
      <c r="C90" s="1246"/>
      <c r="D90" s="1246"/>
      <c r="E90" s="1247"/>
      <c r="F90" s="1247"/>
      <c r="G90" s="1248"/>
      <c r="H90" s="1248"/>
      <c r="I90" s="1248"/>
      <c r="J90" s="1085"/>
      <c r="K90" s="1085"/>
      <c r="L90" s="1085"/>
      <c r="M90" s="1085"/>
      <c r="N90" s="1085"/>
      <c r="O90" s="1085"/>
      <c r="P90" s="1085"/>
      <c r="Q90" s="1085"/>
      <c r="R90" s="1085"/>
      <c r="S90" s="1069"/>
      <c r="T90" s="1069"/>
      <c r="U90" s="1069"/>
      <c r="V90" s="1069"/>
      <c r="W90" s="739"/>
      <c r="X90" s="739"/>
      <c r="Y90" s="738"/>
      <c r="Z90" s="13"/>
      <c r="AA90" s="739"/>
      <c r="AB90" s="739"/>
      <c r="AC90" s="739"/>
      <c r="AD90" s="739"/>
      <c r="AE90" s="739"/>
      <c r="AF90" s="739"/>
      <c r="AG90" s="13"/>
    </row>
    <row r="91" spans="1:33" s="9" customFormat="1" ht="11.25" customHeight="1" thickBot="1">
      <c r="A91" s="1079"/>
      <c r="B91" s="1086"/>
      <c r="C91" s="1086"/>
      <c r="D91" s="1086"/>
      <c r="E91" s="1087"/>
      <c r="F91" s="1087"/>
      <c r="G91" s="1088"/>
      <c r="H91" s="1089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90"/>
      <c r="T91" s="1090"/>
      <c r="U91" s="1090"/>
      <c r="V91" s="1090"/>
      <c r="W91" s="742"/>
      <c r="X91" s="742"/>
      <c r="Y91" s="742"/>
      <c r="Z91" s="13"/>
      <c r="AA91" s="743"/>
      <c r="AB91" s="743"/>
      <c r="AC91" s="744"/>
      <c r="AD91" s="744"/>
      <c r="AE91" s="744"/>
      <c r="AF91" s="744"/>
      <c r="AG91" s="13"/>
    </row>
    <row r="92" spans="1:33" s="9" customFormat="1" ht="33" customHeight="1" thickTop="1">
      <c r="A92" s="1079"/>
      <c r="B92" s="1091" t="s">
        <v>91</v>
      </c>
      <c r="C92" s="1092">
        <f t="shared" ref="C92:Y92" si="70">ROUND(((C59++C19+C17)/C7),4)</f>
        <v>2.81E-2</v>
      </c>
      <c r="D92" s="1092">
        <f t="shared" si="70"/>
        <v>4.3999999999999997E-2</v>
      </c>
      <c r="E92" s="1093">
        <f t="shared" si="70"/>
        <v>7.51E-2</v>
      </c>
      <c r="F92" s="1093">
        <f t="shared" si="70"/>
        <v>7.3499999999999996E-2</v>
      </c>
      <c r="G92" s="1094">
        <f t="shared" si="70"/>
        <v>7.0000000000000007E-2</v>
      </c>
      <c r="H92" s="1095">
        <f t="shared" si="70"/>
        <v>8.5900000000000004E-2</v>
      </c>
      <c r="I92" s="1096"/>
      <c r="J92" s="1097"/>
      <c r="K92" s="1097"/>
      <c r="L92" s="1097"/>
      <c r="M92" s="1097"/>
      <c r="N92" s="1097"/>
      <c r="O92" s="1097"/>
      <c r="P92" s="1097"/>
      <c r="Q92" s="1097"/>
      <c r="R92" s="1097"/>
      <c r="S92" s="1097"/>
      <c r="T92" s="1097"/>
      <c r="U92" s="1097"/>
      <c r="V92" s="1097"/>
      <c r="W92" s="745">
        <f t="shared" si="70"/>
        <v>0</v>
      </c>
      <c r="X92" s="745">
        <f t="shared" si="70"/>
        <v>0</v>
      </c>
      <c r="Y92" s="745">
        <f t="shared" si="70"/>
        <v>0</v>
      </c>
      <c r="Z92" s="13"/>
      <c r="AA92" s="746">
        <f t="shared" ref="AA92:AF92" si="71">ROUND(((AA59++AA19+AA17)/AA7),2)</f>
        <v>0</v>
      </c>
      <c r="AB92" s="747">
        <f t="shared" si="71"/>
        <v>0</v>
      </c>
      <c r="AC92" s="747">
        <f t="shared" si="71"/>
        <v>0</v>
      </c>
      <c r="AD92" s="747">
        <f t="shared" si="71"/>
        <v>0</v>
      </c>
      <c r="AE92" s="747">
        <f t="shared" si="71"/>
        <v>0</v>
      </c>
      <c r="AF92" s="747">
        <f t="shared" si="71"/>
        <v>0</v>
      </c>
      <c r="AG92" s="13"/>
    </row>
    <row r="93" spans="1:33" s="9" customFormat="1" ht="25.5" customHeight="1">
      <c r="A93" s="1098"/>
      <c r="B93" s="1099" t="s">
        <v>431</v>
      </c>
      <c r="C93" s="1100" t="str">
        <f t="shared" ref="C93:D93" si="72">IF(C94&gt;=C92,"ok.","nok")</f>
        <v>ok.</v>
      </c>
      <c r="D93" s="1100" t="str">
        <f t="shared" si="72"/>
        <v>ok.</v>
      </c>
      <c r="E93" s="1101" t="str">
        <f>IF(E94&gt;=E92,"ok.","nok")</f>
        <v>nok</v>
      </c>
      <c r="F93" s="1101" t="str">
        <f>IF(F94&gt;=F92,"ok.","nok")</f>
        <v>nok</v>
      </c>
      <c r="G93" s="1102" t="str">
        <f>IF(G92&lt;=G94,"ok.","nok")</f>
        <v>nok</v>
      </c>
      <c r="H93" s="1103" t="str">
        <f t="shared" ref="H93" si="73">IF(H92&lt;=H94,"ok.","nok")</f>
        <v>nok</v>
      </c>
      <c r="I93" s="1104"/>
      <c r="J93" s="1105"/>
      <c r="K93" s="1105"/>
      <c r="L93" s="1105"/>
      <c r="M93" s="1105"/>
      <c r="N93" s="1105"/>
      <c r="O93" s="1105"/>
      <c r="P93" s="1105"/>
      <c r="Q93" s="1105"/>
      <c r="R93" s="1105"/>
      <c r="S93" s="1106"/>
      <c r="T93" s="1107"/>
      <c r="U93" s="1107"/>
      <c r="V93" s="1107"/>
      <c r="W93" s="749" t="e">
        <f t="shared" ref="W93:Y93" si="74">IF(W94&gt;=W92,"ok.","nok")</f>
        <v>#DIV/0!</v>
      </c>
      <c r="X93" s="749" t="e">
        <f t="shared" si="74"/>
        <v>#DIV/0!</v>
      </c>
      <c r="Y93" s="750" t="e">
        <f t="shared" si="74"/>
        <v>#DIV/0!</v>
      </c>
      <c r="Z93" s="13"/>
      <c r="AA93" s="748" t="e">
        <f t="shared" ref="AA93:AF93" si="75">IF(AA94&gt;=AA92,"ok.","nok")</f>
        <v>#DIV/0!</v>
      </c>
      <c r="AB93" s="750" t="e">
        <f t="shared" si="75"/>
        <v>#DIV/0!</v>
      </c>
      <c r="AC93" s="750" t="e">
        <f t="shared" si="75"/>
        <v>#DIV/0!</v>
      </c>
      <c r="AD93" s="750" t="str">
        <f t="shared" si="75"/>
        <v>ok.</v>
      </c>
      <c r="AE93" s="750" t="str">
        <f t="shared" si="75"/>
        <v>ok.</v>
      </c>
      <c r="AF93" s="750" t="str">
        <f t="shared" si="75"/>
        <v>ok.</v>
      </c>
      <c r="AG93" s="13"/>
    </row>
    <row r="94" spans="1:33" s="9" customFormat="1" ht="33" customHeight="1" thickBot="1">
      <c r="A94" s="1098"/>
      <c r="B94" s="1099" t="s">
        <v>92</v>
      </c>
      <c r="C94" s="1108">
        <f>ROUND((((0.0199)+(0.727392)+(0.02090675))/3),4)</f>
        <v>0.25609999999999999</v>
      </c>
      <c r="D94" s="1108">
        <f>ROUND((((C11-C12+C26)/C7+(0.019934676)+(0.727392))/3),4)</f>
        <v>0.25829999999999997</v>
      </c>
      <c r="E94" s="1109">
        <f>ROUND((((D11-D12+D26)/D7+(C11-C12+C26)/C7+(0.019934676))/3),4)</f>
        <v>1.38E-2</v>
      </c>
      <c r="F94" s="1109">
        <f>ROUND((((E11-E12+E26)/E7+(D11-D12+D26)/D7+(0.019934676))/3),4)</f>
        <v>2.41E-2</v>
      </c>
      <c r="G94" s="1110">
        <f>ROUND((((F11-F12+F26)/E7+(D11-D12+D26)/D7+(C11-C12+C26)/C7)/3),4)</f>
        <v>2.3400000000000001E-2</v>
      </c>
      <c r="H94" s="1111">
        <f>ROUND((((G11-G12+G26)/G7+(F11-F12+F26)/F7+(D11-D12+D26)/D7)/3),4)</f>
        <v>2.7099999999999999E-2</v>
      </c>
      <c r="I94" s="1112"/>
      <c r="J94" s="1113"/>
      <c r="K94" s="1113"/>
      <c r="L94" s="1113"/>
      <c r="M94" s="1113"/>
      <c r="N94" s="1113"/>
      <c r="O94" s="1113"/>
      <c r="P94" s="1113"/>
      <c r="Q94" s="1113"/>
      <c r="R94" s="1113"/>
      <c r="S94" s="1113"/>
      <c r="T94" s="1113"/>
      <c r="U94" s="1113"/>
      <c r="V94" s="1113"/>
      <c r="W94" s="751" t="e">
        <f t="shared" ref="W94:Y94" si="76">ROUND((((V11-V12+V26)/V7+(U11-U12+U26)/U7+(T11-T12+T26)/T7)/3),4)</f>
        <v>#DIV/0!</v>
      </c>
      <c r="X94" s="751" t="e">
        <f t="shared" si="76"/>
        <v>#DIV/0!</v>
      </c>
      <c r="Y94" s="751" t="e">
        <f t="shared" si="76"/>
        <v>#DIV/0!</v>
      </c>
      <c r="Z94" s="13"/>
      <c r="AA94" s="752" t="e">
        <f>ROUND((((T11-T12+T26)/T7+(S11-S12+S26)/S7+(R11-R12+R26)/R7)/3),2)</f>
        <v>#DIV/0!</v>
      </c>
      <c r="AB94" s="741" t="e">
        <f>ROUND((((AA11-AA12+AA26)/AA7+(T11-T12+T26)/T7+(S11-S12+S26)/S7)/3),2)</f>
        <v>#DIV/0!</v>
      </c>
      <c r="AC94" s="741" t="e">
        <f>ROUND((((AB11-AB12+AB26)/AB7+(AA11-AA12+AA26)/AA7+(T11-T12+T26)/T7)/3),2)</f>
        <v>#DIV/0!</v>
      </c>
      <c r="AD94" s="741">
        <f t="shared" ref="AD94:AF94" si="77">ROUND((((AC11-AC12+AC26)/AC7+(AB11-AB12+AB26)/AB7+(AA11-AA12+AA26)/AA7)/3),2)</f>
        <v>0.3</v>
      </c>
      <c r="AE94" s="741">
        <f t="shared" si="77"/>
        <v>0.17</v>
      </c>
      <c r="AF94" s="741">
        <f t="shared" si="77"/>
        <v>0.08</v>
      </c>
      <c r="AG94" s="13"/>
    </row>
    <row r="95" spans="1:33" s="9" customFormat="1" ht="9.9499999999999993" customHeight="1" thickTop="1">
      <c r="A95" s="733"/>
      <c r="B95" s="753"/>
      <c r="C95" s="753"/>
      <c r="D95" s="753"/>
      <c r="E95" s="754"/>
      <c r="F95" s="755"/>
      <c r="G95" s="742"/>
      <c r="H95" s="756"/>
      <c r="I95" s="742"/>
      <c r="J95" s="742"/>
      <c r="K95" s="742"/>
      <c r="L95" s="742"/>
      <c r="M95" s="742"/>
      <c r="N95" s="742"/>
      <c r="O95" s="742"/>
      <c r="P95" s="742"/>
      <c r="Q95" s="742"/>
      <c r="R95" s="742"/>
      <c r="S95" s="742"/>
      <c r="T95" s="742"/>
      <c r="U95" s="742"/>
      <c r="V95" s="742"/>
      <c r="W95" s="742"/>
      <c r="X95" s="742"/>
      <c r="Y95" s="742"/>
      <c r="Z95" s="742"/>
      <c r="AA95" s="756"/>
      <c r="AB95" s="756"/>
      <c r="AC95" s="753"/>
      <c r="AD95" s="753"/>
      <c r="AE95" s="753"/>
      <c r="AF95" s="753"/>
      <c r="AG95" s="13"/>
    </row>
    <row r="96" spans="1:33" ht="20.25">
      <c r="A96" s="757"/>
      <c r="B96" s="1621"/>
      <c r="C96" s="1621"/>
      <c r="D96" s="1621"/>
      <c r="E96" s="1621"/>
      <c r="F96" s="1621"/>
      <c r="G96" s="1621"/>
      <c r="H96" s="1621"/>
      <c r="I96" s="1621"/>
      <c r="J96" s="1621"/>
      <c r="K96" s="1621"/>
      <c r="L96" s="1621"/>
      <c r="M96" s="1621"/>
      <c r="N96" s="1621"/>
      <c r="O96" s="1621"/>
      <c r="P96" s="1621"/>
      <c r="Q96" s="1621"/>
      <c r="R96" s="1621"/>
      <c r="S96" s="1621"/>
      <c r="T96" s="1621"/>
      <c r="U96" s="1621"/>
      <c r="V96" s="1621"/>
      <c r="W96" s="1621"/>
      <c r="X96" s="1621"/>
      <c r="Y96" s="1621"/>
      <c r="Z96" s="1621"/>
      <c r="AA96" s="1621"/>
      <c r="AB96" s="1621"/>
      <c r="AC96" s="1621"/>
      <c r="AD96" s="1621"/>
      <c r="AE96" s="1621"/>
      <c r="AF96" s="1621"/>
    </row>
    <row r="97" spans="1:32" ht="20.25" customHeight="1">
      <c r="A97" s="757"/>
      <c r="B97" s="1609"/>
      <c r="C97" s="1609"/>
      <c r="D97" s="1609"/>
      <c r="E97" s="1609"/>
      <c r="F97" s="1609"/>
      <c r="G97" s="1609"/>
      <c r="H97" s="1609"/>
      <c r="I97" s="1609"/>
      <c r="J97" s="1609"/>
      <c r="K97" s="1609"/>
      <c r="L97" s="1609"/>
      <c r="M97" s="1609"/>
      <c r="N97" s="1609"/>
      <c r="O97" s="1609"/>
      <c r="P97" s="1609"/>
      <c r="Q97" s="1609"/>
      <c r="R97" s="1609"/>
      <c r="S97" s="1609"/>
      <c r="T97" s="1609"/>
      <c r="U97" s="1609"/>
      <c r="V97" s="1609"/>
      <c r="W97" s="1609"/>
      <c r="X97" s="1609"/>
      <c r="Y97" s="1609"/>
      <c r="Z97" s="1609"/>
      <c r="AA97" s="1609"/>
      <c r="AB97" s="1609"/>
      <c r="AC97" s="1609"/>
      <c r="AD97" s="1609"/>
      <c r="AE97" s="1609"/>
      <c r="AF97" s="1609"/>
    </row>
    <row r="98" spans="1:32" ht="17.25" customHeight="1">
      <c r="A98" s="757"/>
      <c r="B98" s="1609"/>
      <c r="C98" s="1609"/>
      <c r="D98" s="1609"/>
      <c r="E98" s="1609"/>
      <c r="F98" s="1609"/>
      <c r="G98" s="1609"/>
      <c r="H98" s="1609"/>
      <c r="I98" s="1609"/>
      <c r="J98" s="1609"/>
      <c r="K98" s="1609"/>
      <c r="L98" s="1609"/>
      <c r="M98" s="1609"/>
      <c r="N98" s="1609"/>
      <c r="O98" s="1609"/>
      <c r="P98" s="1609"/>
      <c r="Q98" s="1609"/>
      <c r="R98" s="1609"/>
      <c r="S98" s="1609"/>
      <c r="T98" s="1609"/>
      <c r="U98" s="1609"/>
      <c r="V98" s="1609"/>
      <c r="W98" s="1609"/>
      <c r="X98" s="1609"/>
      <c r="Y98" s="1609"/>
      <c r="Z98" s="1609"/>
      <c r="AA98" s="1609"/>
      <c r="AB98" s="1609"/>
      <c r="AC98" s="1609"/>
      <c r="AD98" s="1609"/>
      <c r="AE98" s="1609"/>
      <c r="AF98" s="1609"/>
    </row>
    <row r="99" spans="1:32" ht="18.75" customHeight="1">
      <c r="A99" s="757"/>
      <c r="B99" s="1609"/>
      <c r="C99" s="1609"/>
      <c r="D99" s="1609"/>
      <c r="E99" s="1609"/>
      <c r="F99" s="1609"/>
      <c r="G99" s="1609"/>
      <c r="H99" s="1609"/>
      <c r="I99" s="1609"/>
      <c r="J99" s="1609"/>
      <c r="K99" s="1609"/>
      <c r="L99" s="1609"/>
      <c r="M99" s="1609"/>
      <c r="N99" s="1609"/>
      <c r="O99" s="1609"/>
      <c r="P99" s="1609"/>
      <c r="Q99" s="1609"/>
      <c r="R99" s="1609"/>
      <c r="S99" s="1609"/>
      <c r="T99" s="1609"/>
      <c r="U99" s="1609"/>
      <c r="V99" s="1609"/>
      <c r="W99" s="1609"/>
      <c r="X99" s="1609"/>
      <c r="Y99" s="1609"/>
      <c r="Z99" s="1609"/>
      <c r="AA99" s="1609"/>
      <c r="AB99" s="1609"/>
      <c r="AC99" s="1609"/>
      <c r="AD99" s="1609"/>
      <c r="AE99" s="1609"/>
      <c r="AF99" s="1609"/>
    </row>
    <row r="100" spans="1:32" ht="21.75" customHeight="1">
      <c r="A100" s="757"/>
      <c r="B100" s="1609"/>
      <c r="C100" s="1609"/>
      <c r="D100" s="1609"/>
      <c r="E100" s="1609"/>
      <c r="F100" s="1609"/>
      <c r="G100" s="1609"/>
      <c r="H100" s="1609"/>
      <c r="I100" s="1609"/>
      <c r="J100" s="1609"/>
      <c r="K100" s="1609"/>
      <c r="L100" s="1609"/>
      <c r="M100" s="1609"/>
      <c r="N100" s="1609"/>
      <c r="O100" s="1609"/>
      <c r="P100" s="1609"/>
      <c r="Q100" s="1609"/>
      <c r="R100" s="1609"/>
      <c r="S100" s="1609"/>
      <c r="T100" s="1609"/>
      <c r="U100" s="1609"/>
      <c r="V100" s="1609"/>
      <c r="W100" s="1609"/>
      <c r="X100" s="1609"/>
      <c r="Y100" s="1609"/>
      <c r="Z100" s="1609"/>
      <c r="AA100" s="1609"/>
      <c r="AB100" s="1609"/>
      <c r="AC100" s="1609"/>
      <c r="AD100" s="1609"/>
      <c r="AE100" s="1609"/>
      <c r="AF100" s="1609"/>
    </row>
    <row r="101" spans="1:32" ht="18.75" customHeight="1">
      <c r="A101" s="757"/>
      <c r="B101" s="1608"/>
      <c r="C101" s="1608"/>
      <c r="D101" s="1608"/>
      <c r="E101" s="1608"/>
      <c r="F101" s="1608"/>
      <c r="G101" s="1608"/>
      <c r="H101" s="1608"/>
      <c r="I101" s="1608"/>
      <c r="J101" s="1608"/>
      <c r="K101" s="1608"/>
      <c r="L101" s="1608"/>
      <c r="M101" s="1608"/>
      <c r="N101" s="1608"/>
      <c r="O101" s="1608"/>
      <c r="P101" s="1608"/>
      <c r="Q101" s="1608"/>
      <c r="R101" s="1608"/>
      <c r="S101" s="1608"/>
      <c r="T101" s="1608"/>
      <c r="U101" s="1608"/>
      <c r="V101" s="1608"/>
      <c r="W101" s="1608"/>
      <c r="X101" s="1608"/>
      <c r="Y101" s="1608"/>
      <c r="Z101" s="1608"/>
      <c r="AA101" s="1608"/>
      <c r="AB101" s="1608"/>
      <c r="AC101" s="1608"/>
      <c r="AD101" s="1608"/>
      <c r="AE101" s="1608"/>
      <c r="AF101" s="1608"/>
    </row>
    <row r="102" spans="1:32" ht="12.75" customHeight="1">
      <c r="A102" s="757"/>
      <c r="B102" s="758"/>
      <c r="C102" s="758"/>
      <c r="D102" s="758"/>
      <c r="E102" s="758"/>
      <c r="F102" s="758"/>
      <c r="G102" s="758"/>
      <c r="H102" s="758"/>
      <c r="I102" s="758"/>
      <c r="J102" s="758"/>
      <c r="K102" s="758"/>
      <c r="L102" s="758"/>
      <c r="M102" s="758"/>
      <c r="N102" s="758"/>
      <c r="O102" s="758"/>
      <c r="P102" s="758"/>
      <c r="Q102" s="758"/>
      <c r="R102" s="758"/>
      <c r="S102" s="758"/>
      <c r="T102" s="781"/>
      <c r="U102" s="781"/>
      <c r="V102" s="781"/>
      <c r="W102" s="781"/>
      <c r="X102" s="781"/>
      <c r="Y102" s="781"/>
      <c r="Z102" s="758"/>
      <c r="AA102" s="758"/>
      <c r="AB102" s="758"/>
      <c r="AC102" s="758"/>
      <c r="AD102" s="758"/>
      <c r="AE102" s="758"/>
      <c r="AF102" s="758"/>
    </row>
    <row r="103" spans="1:32" ht="12.75" customHeight="1">
      <c r="A103" s="757"/>
      <c r="B103" s="758"/>
      <c r="C103" s="758"/>
      <c r="D103" s="758"/>
      <c r="E103" s="758"/>
      <c r="F103" s="758"/>
      <c r="G103" s="758"/>
      <c r="H103" s="758"/>
      <c r="I103" s="758"/>
      <c r="J103" s="758"/>
      <c r="K103" s="758"/>
      <c r="L103" s="758"/>
      <c r="M103" s="758"/>
      <c r="N103" s="758"/>
      <c r="O103" s="758"/>
      <c r="P103" s="758"/>
      <c r="Q103" s="758"/>
      <c r="R103" s="758"/>
      <c r="S103" s="758"/>
      <c r="T103" s="781"/>
      <c r="U103" s="781"/>
      <c r="V103" s="781"/>
      <c r="W103" s="781"/>
      <c r="X103" s="781"/>
      <c r="Y103" s="781"/>
      <c r="Z103" s="758"/>
      <c r="AA103" s="758"/>
      <c r="AB103" s="758"/>
      <c r="AC103" s="758"/>
      <c r="AD103" s="758"/>
      <c r="AE103" s="758"/>
      <c r="AF103" s="758"/>
    </row>
    <row r="104" spans="1:32" ht="12.75" customHeight="1">
      <c r="A104" s="757"/>
      <c r="B104" s="758"/>
      <c r="C104" s="758"/>
      <c r="D104" s="758"/>
      <c r="E104" s="758"/>
      <c r="F104" s="758"/>
      <c r="G104" s="758"/>
      <c r="H104" s="758"/>
      <c r="I104" s="758"/>
      <c r="J104" s="758"/>
      <c r="K104" s="758"/>
      <c r="L104" s="758"/>
      <c r="M104" s="758"/>
      <c r="N104" s="758"/>
      <c r="O104" s="758"/>
      <c r="P104" s="758"/>
      <c r="Q104" s="758"/>
      <c r="R104" s="758"/>
      <c r="S104" s="758"/>
      <c r="T104" s="781"/>
      <c r="U104" s="781"/>
      <c r="V104" s="781"/>
      <c r="W104" s="781"/>
      <c r="X104" s="781"/>
      <c r="Y104" s="781"/>
      <c r="Z104" s="758"/>
      <c r="AA104" s="758"/>
      <c r="AB104" s="758"/>
      <c r="AC104" s="758"/>
      <c r="AD104" s="758"/>
      <c r="AE104" s="758"/>
      <c r="AF104" s="758"/>
    </row>
    <row r="105" spans="1:32" ht="12.75" customHeight="1">
      <c r="A105" s="757"/>
      <c r="B105" s="758"/>
      <c r="C105" s="758"/>
      <c r="D105" s="758"/>
      <c r="E105" s="758"/>
      <c r="F105" s="758"/>
      <c r="G105" s="758"/>
      <c r="H105" s="758"/>
      <c r="I105" s="758"/>
      <c r="J105" s="758"/>
      <c r="K105" s="758"/>
      <c r="L105" s="758"/>
      <c r="M105" s="758"/>
      <c r="N105" s="758"/>
      <c r="O105" s="758"/>
      <c r="P105" s="758"/>
      <c r="Q105" s="758"/>
      <c r="R105" s="758"/>
      <c r="S105" s="758"/>
      <c r="T105" s="781"/>
      <c r="U105" s="781"/>
      <c r="V105" s="781"/>
      <c r="W105" s="781"/>
      <c r="X105" s="781"/>
      <c r="Y105" s="781"/>
      <c r="Z105" s="758"/>
      <c r="AA105" s="758"/>
      <c r="AB105" s="758"/>
      <c r="AC105" s="758"/>
      <c r="AD105" s="758"/>
      <c r="AE105" s="758"/>
      <c r="AF105" s="758"/>
    </row>
    <row r="106" spans="1:32" ht="12.75" customHeight="1">
      <c r="A106" s="757"/>
      <c r="B106" s="758"/>
      <c r="C106" s="758"/>
      <c r="D106" s="758"/>
      <c r="E106" s="758"/>
      <c r="F106" s="758"/>
      <c r="G106" s="758"/>
      <c r="H106" s="758"/>
      <c r="I106" s="758"/>
      <c r="J106" s="758"/>
      <c r="K106" s="758"/>
      <c r="L106" s="758"/>
      <c r="M106" s="758"/>
      <c r="N106" s="758"/>
      <c r="O106" s="758"/>
      <c r="P106" s="758"/>
      <c r="Q106" s="758"/>
      <c r="R106" s="758"/>
      <c r="S106" s="758"/>
      <c r="T106" s="781"/>
      <c r="U106" s="781"/>
      <c r="V106" s="781"/>
      <c r="W106" s="781"/>
      <c r="X106" s="781"/>
      <c r="Y106" s="781"/>
      <c r="Z106" s="758"/>
      <c r="AA106" s="758"/>
      <c r="AB106" s="758"/>
      <c r="AC106" s="758"/>
      <c r="AD106" s="758"/>
      <c r="AE106" s="758"/>
      <c r="AF106" s="758"/>
    </row>
    <row r="107" spans="1:32" ht="12.75" customHeight="1">
      <c r="A107" s="757"/>
      <c r="B107" s="758"/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8"/>
      <c r="S107" s="758"/>
      <c r="T107" s="781"/>
      <c r="U107" s="781"/>
      <c r="V107" s="781"/>
      <c r="W107" s="781"/>
      <c r="X107" s="781"/>
      <c r="Y107" s="781"/>
      <c r="Z107" s="758"/>
      <c r="AA107" s="758"/>
      <c r="AB107" s="758"/>
      <c r="AC107" s="758"/>
      <c r="AD107" s="758"/>
      <c r="AE107" s="758"/>
      <c r="AF107" s="758"/>
    </row>
    <row r="108" spans="1:32" ht="12.75" customHeight="1">
      <c r="A108" s="757"/>
      <c r="B108" s="758"/>
      <c r="C108" s="758"/>
      <c r="D108" s="758"/>
      <c r="E108" s="758"/>
      <c r="F108" s="758"/>
      <c r="G108" s="758"/>
      <c r="H108" s="758"/>
      <c r="I108" s="758"/>
      <c r="J108" s="758"/>
      <c r="K108" s="758"/>
      <c r="L108" s="758"/>
      <c r="M108" s="758"/>
      <c r="N108" s="758"/>
      <c r="O108" s="758"/>
      <c r="P108" s="758"/>
      <c r="Q108" s="758"/>
      <c r="R108" s="758"/>
      <c r="S108" s="758"/>
      <c r="T108" s="781"/>
      <c r="U108" s="781"/>
      <c r="V108" s="781"/>
      <c r="W108" s="781"/>
      <c r="X108" s="781"/>
      <c r="Y108" s="781"/>
      <c r="Z108" s="758"/>
      <c r="AA108" s="758"/>
      <c r="AB108" s="758"/>
      <c r="AC108" s="758"/>
      <c r="AD108" s="758"/>
      <c r="AE108" s="758"/>
      <c r="AF108" s="758"/>
    </row>
    <row r="109" spans="1:32" ht="22.5" customHeight="1">
      <c r="A109" s="757"/>
      <c r="B109" s="758"/>
      <c r="C109" s="758"/>
      <c r="D109" s="758"/>
      <c r="E109" s="758"/>
      <c r="F109" s="758"/>
      <c r="G109" s="758"/>
      <c r="H109" s="758"/>
      <c r="I109" s="758"/>
      <c r="J109" s="758"/>
      <c r="K109" s="758"/>
      <c r="L109" s="758"/>
      <c r="M109" s="758"/>
      <c r="N109" s="758"/>
      <c r="O109" s="758"/>
      <c r="P109" s="758"/>
      <c r="Q109" s="1250"/>
      <c r="R109" s="1250"/>
      <c r="S109" s="758"/>
      <c r="T109" s="781"/>
      <c r="U109" s="781"/>
      <c r="V109" s="781"/>
      <c r="W109" s="781"/>
      <c r="X109" s="781"/>
      <c r="Y109" s="781"/>
      <c r="Z109" s="758"/>
      <c r="AA109" s="758"/>
      <c r="AB109" s="758"/>
      <c r="AC109" s="758"/>
      <c r="AD109" s="758"/>
      <c r="AE109" s="758"/>
      <c r="AF109" s="758"/>
    </row>
    <row r="110" spans="1:32" ht="20.25">
      <c r="A110" s="757"/>
      <c r="B110" s="759"/>
      <c r="C110" s="759"/>
      <c r="D110" s="759"/>
      <c r="E110" s="760"/>
      <c r="F110" s="760"/>
      <c r="G110" s="757"/>
      <c r="H110" s="757"/>
      <c r="I110" s="757"/>
      <c r="J110" s="757"/>
      <c r="K110" s="757"/>
      <c r="L110" s="757"/>
      <c r="M110" s="757"/>
      <c r="N110" s="757"/>
      <c r="O110" s="757"/>
      <c r="P110" s="757"/>
      <c r="Q110" s="1607"/>
      <c r="R110" s="1607"/>
      <c r="S110" s="757"/>
      <c r="T110" s="757"/>
      <c r="U110" s="757"/>
      <c r="V110" s="757"/>
      <c r="W110" s="757"/>
      <c r="X110" s="757"/>
      <c r="Y110" s="757"/>
      <c r="Z110" s="757"/>
      <c r="AA110" s="757"/>
      <c r="AB110" s="757"/>
      <c r="AC110" s="757"/>
      <c r="AD110" s="757"/>
      <c r="AE110" s="757"/>
      <c r="AF110" s="757"/>
    </row>
    <row r="111" spans="1:32" ht="20.25">
      <c r="A111" s="757"/>
      <c r="B111" s="761"/>
      <c r="C111" s="761"/>
      <c r="D111" s="761"/>
      <c r="E111" s="760"/>
      <c r="F111" s="760"/>
      <c r="G111" s="757"/>
      <c r="H111" s="757"/>
      <c r="I111" s="757"/>
      <c r="J111" s="757"/>
      <c r="K111" s="757"/>
      <c r="L111" s="757"/>
      <c r="M111" s="757"/>
      <c r="N111" s="757"/>
      <c r="O111" s="757"/>
      <c r="P111" s="757"/>
      <c r="Q111" s="757"/>
      <c r="R111" s="757"/>
      <c r="S111" s="757"/>
      <c r="T111" s="757"/>
      <c r="U111" s="757"/>
      <c r="V111" s="757"/>
      <c r="W111" s="757"/>
      <c r="X111" s="757"/>
      <c r="Y111" s="757"/>
      <c r="Z111" s="757"/>
      <c r="AA111" s="757"/>
      <c r="AB111" s="757"/>
      <c r="AC111" s="757"/>
      <c r="AD111" s="757"/>
      <c r="AE111" s="757"/>
      <c r="AF111" s="757"/>
    </row>
    <row r="112" spans="1:32" ht="20.25">
      <c r="A112" s="757"/>
      <c r="B112" s="761"/>
      <c r="C112" s="761"/>
      <c r="D112" s="761"/>
      <c r="E112" s="760"/>
      <c r="F112" s="760"/>
      <c r="G112" s="757"/>
      <c r="H112" s="757"/>
      <c r="I112" s="757"/>
      <c r="J112" s="757"/>
      <c r="K112" s="757"/>
      <c r="L112" s="757"/>
      <c r="M112" s="757"/>
      <c r="N112" s="757"/>
      <c r="O112" s="757"/>
      <c r="P112" s="757"/>
      <c r="Q112" s="757"/>
      <c r="R112" s="757"/>
      <c r="S112" s="757"/>
      <c r="T112" s="757"/>
      <c r="U112" s="757"/>
      <c r="V112" s="757"/>
      <c r="W112" s="757"/>
      <c r="X112" s="757"/>
      <c r="Y112" s="757"/>
      <c r="Z112" s="757"/>
      <c r="AA112" s="757"/>
      <c r="AB112" s="757"/>
      <c r="AC112" s="757"/>
      <c r="AD112" s="757"/>
      <c r="AE112" s="757"/>
      <c r="AF112" s="757"/>
    </row>
    <row r="113" spans="1:32" ht="20.25">
      <c r="A113" s="757"/>
      <c r="B113" s="761"/>
      <c r="C113" s="761"/>
      <c r="D113" s="761"/>
      <c r="E113" s="760"/>
      <c r="F113" s="760"/>
      <c r="G113" s="757"/>
      <c r="H113" s="757"/>
      <c r="I113" s="757"/>
      <c r="J113" s="757"/>
      <c r="K113" s="757"/>
      <c r="L113" s="757"/>
      <c r="M113" s="757"/>
      <c r="N113" s="757"/>
      <c r="O113" s="757"/>
      <c r="P113" s="757"/>
      <c r="Q113" s="757"/>
      <c r="R113" s="757"/>
      <c r="S113" s="757"/>
      <c r="T113" s="757"/>
      <c r="U113" s="757"/>
      <c r="V113" s="757"/>
      <c r="W113" s="757"/>
      <c r="X113" s="757"/>
      <c r="Y113" s="757"/>
      <c r="Z113" s="757"/>
      <c r="AA113" s="757"/>
      <c r="AB113" s="757"/>
      <c r="AC113" s="757"/>
      <c r="AD113" s="757"/>
      <c r="AE113" s="757"/>
      <c r="AF113" s="757"/>
    </row>
    <row r="114" spans="1:32" ht="20.25" hidden="1">
      <c r="A114" s="757"/>
      <c r="B114" s="761"/>
      <c r="C114" s="761"/>
      <c r="D114" s="761"/>
      <c r="E114" s="760"/>
      <c r="F114" s="760"/>
      <c r="G114" s="757"/>
      <c r="H114" s="757"/>
      <c r="I114" s="757"/>
      <c r="J114" s="757"/>
      <c r="K114" s="757"/>
      <c r="L114" s="757"/>
      <c r="M114" s="757"/>
      <c r="N114" s="757"/>
      <c r="O114" s="757"/>
      <c r="P114" s="757"/>
      <c r="Q114" s="757"/>
      <c r="R114" s="757"/>
      <c r="S114" s="757"/>
      <c r="T114" s="757"/>
      <c r="U114" s="757"/>
      <c r="V114" s="757"/>
      <c r="W114" s="757"/>
      <c r="X114" s="757"/>
      <c r="Y114" s="757"/>
      <c r="Z114" s="757"/>
      <c r="AA114" s="757"/>
      <c r="AB114" s="757"/>
      <c r="AC114" s="757"/>
      <c r="AD114" s="757"/>
      <c r="AE114" s="757"/>
      <c r="AF114" s="757"/>
    </row>
    <row r="115" spans="1:32" ht="20.25">
      <c r="A115" s="757"/>
      <c r="B115" s="761"/>
      <c r="C115" s="761"/>
      <c r="D115" s="761"/>
      <c r="E115" s="760"/>
      <c r="F115" s="760"/>
      <c r="G115" s="757"/>
      <c r="H115" s="757"/>
      <c r="I115" s="757"/>
      <c r="J115" s="757"/>
      <c r="K115" s="757"/>
      <c r="L115" s="757"/>
      <c r="M115" s="757"/>
      <c r="N115" s="757"/>
      <c r="O115" s="757"/>
      <c r="P115" s="757"/>
      <c r="Q115" s="757"/>
      <c r="R115" s="757"/>
      <c r="S115" s="757"/>
      <c r="T115" s="757"/>
      <c r="U115" s="757"/>
      <c r="V115" s="757"/>
      <c r="W115" s="757"/>
      <c r="X115" s="757"/>
      <c r="Y115" s="757"/>
      <c r="Z115" s="757"/>
      <c r="AA115" s="757"/>
      <c r="AB115" s="757"/>
      <c r="AC115" s="757"/>
      <c r="AD115" s="757"/>
      <c r="AE115" s="757"/>
      <c r="AF115" s="757"/>
    </row>
    <row r="116" spans="1:32"/>
    <row r="117" spans="1:32"/>
    <row r="118" spans="1:32"/>
    <row r="119" spans="1:32"/>
    <row r="120" spans="1:32"/>
    <row r="121" spans="1:32"/>
    <row r="122" spans="1:32"/>
    <row r="123" spans="1:32"/>
    <row r="124" spans="1:32"/>
    <row r="125" spans="1:32"/>
    <row r="126" spans="1:32"/>
    <row r="127" spans="1:32"/>
    <row r="128" spans="1:3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</sheetData>
  <sheetProtection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T1:Y1"/>
    <mergeCell ref="Q1:S1"/>
    <mergeCell ref="Q110:R110"/>
    <mergeCell ref="B101:AF101"/>
    <mergeCell ref="B97:AF97"/>
    <mergeCell ref="B98:AF98"/>
    <mergeCell ref="B99:AF99"/>
    <mergeCell ref="B2:B4"/>
    <mergeCell ref="E2:E4"/>
    <mergeCell ref="B100:AF100"/>
    <mergeCell ref="G2:AF4"/>
    <mergeCell ref="B96:AF96"/>
    <mergeCell ref="C2:C4"/>
    <mergeCell ref="D2:D4"/>
    <mergeCell ref="F2:F4"/>
    <mergeCell ref="B81:I81"/>
  </mergeCells>
  <phoneticPr fontId="0" type="noConversion"/>
  <conditionalFormatting sqref="C93:R93">
    <cfRule type="containsText" dxfId="4" priority="2" operator="containsText" text="nok">
      <formula>NOT(ISERROR(SEARCH("nok",C93)))</formula>
    </cfRule>
  </conditionalFormatting>
  <pageMargins left="0.70866141732283472" right="0.70866141732283472" top="0.15748031496062992" bottom="0.19685039370078741" header="0.31496062992125984" footer="0.31496062992125984"/>
  <pageSetup paperSize="9" scale="2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CX119"/>
  <sheetViews>
    <sheetView zoomScale="90" zoomScaleNormal="90" zoomScaleSheetLayoutView="100" workbookViewId="0">
      <pane xSplit="2" ySplit="4" topLeftCell="C14" activePane="bottomRight" state="frozen"/>
      <selection activeCell="N51" sqref="N51"/>
      <selection pane="topRight" activeCell="N51" sqref="N51"/>
      <selection pane="bottomLeft" activeCell="N51" sqref="N51"/>
      <selection pane="bottomRight" activeCell="AI60" sqref="AI60"/>
    </sheetView>
  </sheetViews>
  <sheetFormatPr defaultColWidth="0" defaultRowHeight="0" customHeight="1" zeroHeight="1"/>
  <cols>
    <col min="1" max="1" width="22.7109375" customWidth="1"/>
    <col min="2" max="2" width="14.7109375" customWidth="1"/>
    <col min="3" max="3" width="3.7109375" customWidth="1"/>
    <col min="4" max="4" width="3" customWidth="1"/>
    <col min="5" max="5" width="14.7109375" customWidth="1"/>
    <col min="6" max="6" width="14.85546875" customWidth="1"/>
    <col min="7" max="8" width="14.85546875" hidden="1" customWidth="1"/>
    <col min="9" max="10" width="6.140625" customWidth="1"/>
    <col min="11" max="44" width="14.7109375" customWidth="1"/>
    <col min="45" max="46" width="9.140625" customWidth="1"/>
    <col min="47" max="47" width="24.7109375" customWidth="1"/>
    <col min="48" max="48" width="14.7109375" customWidth="1"/>
    <col min="49" max="51" width="14.7109375" hidden="1" customWidth="1"/>
    <col min="52" max="102" width="14.7109375" customWidth="1"/>
    <col min="103" max="103" width="9.140625" customWidth="1"/>
  </cols>
  <sheetData>
    <row r="1" spans="1:102" ht="12.75"/>
    <row r="2" spans="1:102" ht="18" customHeight="1" thickBot="1">
      <c r="A2" s="1680" t="s">
        <v>250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  <c r="L2" s="1680"/>
      <c r="M2" s="1680"/>
      <c r="N2" s="1680"/>
      <c r="O2" s="1680"/>
      <c r="P2" s="1680"/>
      <c r="Q2" s="1680"/>
      <c r="R2" s="1680"/>
      <c r="S2" s="1680"/>
      <c r="T2" s="1680"/>
      <c r="U2" s="1680"/>
      <c r="V2" s="1680"/>
      <c r="W2" s="1680"/>
      <c r="X2" s="1680"/>
      <c r="Y2" s="1680"/>
      <c r="Z2" s="1680"/>
      <c r="AA2" s="1680"/>
      <c r="AB2" s="1680"/>
      <c r="AC2" s="1680"/>
      <c r="AD2" s="1680"/>
      <c r="AE2" s="1680"/>
      <c r="AF2" s="1680"/>
      <c r="AG2" s="1680"/>
      <c r="AH2" s="1680"/>
      <c r="AI2" s="763"/>
      <c r="AJ2" s="763"/>
      <c r="AK2" s="763"/>
      <c r="AL2" s="763"/>
      <c r="AM2" s="763"/>
      <c r="AN2" s="763"/>
      <c r="AO2" s="763"/>
      <c r="AP2" s="763"/>
      <c r="AQ2" s="763"/>
      <c r="AR2" s="763"/>
    </row>
    <row r="3" spans="1:102" ht="13.5" customHeight="1">
      <c r="A3" s="1681"/>
      <c r="B3" s="1683" t="s">
        <v>251</v>
      </c>
      <c r="C3" s="1685" t="s">
        <v>252</v>
      </c>
      <c r="D3" s="1686"/>
      <c r="E3" s="1687" t="s">
        <v>510</v>
      </c>
      <c r="F3" s="1688"/>
      <c r="G3" s="1691" t="s">
        <v>254</v>
      </c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2"/>
      <c r="W3" s="1692"/>
      <c r="X3" s="1692"/>
      <c r="Y3" s="1692"/>
      <c r="Z3" s="1692"/>
      <c r="AA3" s="1692"/>
      <c r="AB3" s="1692"/>
      <c r="AC3" s="1692"/>
      <c r="AD3" s="1692"/>
      <c r="AE3" s="1692"/>
      <c r="AF3" s="1692"/>
      <c r="AG3" s="1692"/>
      <c r="AH3" s="1692"/>
      <c r="AI3" s="776"/>
      <c r="AJ3" s="777"/>
      <c r="AK3" s="777"/>
      <c r="AL3" s="777"/>
      <c r="AM3" s="777"/>
      <c r="AN3" s="777"/>
      <c r="AO3" s="777"/>
      <c r="AP3" s="777"/>
      <c r="AQ3" s="777"/>
      <c r="AR3" s="778"/>
      <c r="AU3" s="1668"/>
      <c r="AV3" s="1670" t="s">
        <v>251</v>
      </c>
      <c r="AW3" s="1672" t="s">
        <v>255</v>
      </c>
      <c r="AX3" s="1673"/>
      <c r="AY3" s="1673"/>
      <c r="AZ3" s="1673"/>
      <c r="BA3" s="1673"/>
      <c r="BB3" s="1673"/>
      <c r="BC3" s="1673"/>
      <c r="BD3" s="1673"/>
      <c r="BE3" s="1673"/>
      <c r="BF3" s="1673"/>
      <c r="BG3" s="1673"/>
      <c r="BH3" s="1673"/>
      <c r="BI3" s="1673"/>
      <c r="BJ3" s="1673"/>
      <c r="BK3" s="1673"/>
      <c r="BL3" s="1673"/>
      <c r="BM3" s="1673"/>
      <c r="BN3" s="1673"/>
      <c r="BO3" s="1673"/>
      <c r="BP3" s="1673"/>
      <c r="BQ3" s="1673"/>
      <c r="BR3" s="1673"/>
      <c r="BS3" s="1673"/>
      <c r="BT3" s="1673"/>
      <c r="BU3" s="1673"/>
      <c r="BV3" s="1673"/>
      <c r="BW3" s="1673"/>
      <c r="BX3" s="1673"/>
      <c r="BY3" s="1673"/>
      <c r="BZ3" s="1673"/>
      <c r="CA3" s="1673"/>
      <c r="CB3" s="1673"/>
      <c r="CC3" s="1673"/>
      <c r="CD3" s="1673"/>
      <c r="CE3" s="1673"/>
      <c r="CF3" s="1673"/>
      <c r="CG3" s="1673"/>
      <c r="CH3" s="1673"/>
      <c r="CI3" s="1673"/>
      <c r="CJ3" s="1673"/>
      <c r="CK3" s="1673"/>
      <c r="CL3" s="1673"/>
      <c r="CM3" s="1673"/>
      <c r="CN3" s="1673"/>
      <c r="CO3" s="1673"/>
      <c r="CP3" s="1673"/>
      <c r="CQ3" s="1673"/>
      <c r="CR3" s="1673"/>
      <c r="CS3" s="1673"/>
      <c r="CT3" s="1673"/>
      <c r="CU3" s="1673"/>
      <c r="CV3" s="1673"/>
      <c r="CW3" s="1673"/>
      <c r="CX3" s="1674"/>
    </row>
    <row r="4" spans="1:102" ht="27" customHeight="1" thickBot="1">
      <c r="A4" s="1682"/>
      <c r="B4" s="1684"/>
      <c r="C4" s="1666">
        <v>2011</v>
      </c>
      <c r="D4" s="1666"/>
      <c r="E4" s="1689"/>
      <c r="F4" s="1690"/>
      <c r="G4" s="1679">
        <v>2012</v>
      </c>
      <c r="H4" s="1666"/>
      <c r="I4" s="1666">
        <f>G4+1</f>
        <v>2013</v>
      </c>
      <c r="J4" s="1666"/>
      <c r="K4" s="1666">
        <f>I4+1</f>
        <v>2014</v>
      </c>
      <c r="L4" s="1666"/>
      <c r="M4" s="1666">
        <f>K4+1</f>
        <v>2015</v>
      </c>
      <c r="N4" s="1666"/>
      <c r="O4" s="1666">
        <f>M4+1</f>
        <v>2016</v>
      </c>
      <c r="P4" s="1666"/>
      <c r="Q4" s="1666">
        <f>O4+1</f>
        <v>2017</v>
      </c>
      <c r="R4" s="1666"/>
      <c r="S4" s="1666">
        <f>Q4+1</f>
        <v>2018</v>
      </c>
      <c r="T4" s="1666"/>
      <c r="U4" s="1666">
        <f>S4+1</f>
        <v>2019</v>
      </c>
      <c r="V4" s="1666"/>
      <c r="W4" s="1666">
        <f>U4+1</f>
        <v>2020</v>
      </c>
      <c r="X4" s="1666"/>
      <c r="Y4" s="1666">
        <f>W4+1</f>
        <v>2021</v>
      </c>
      <c r="Z4" s="1666"/>
      <c r="AA4" s="1666">
        <f>Y4+1</f>
        <v>2022</v>
      </c>
      <c r="AB4" s="1666"/>
      <c r="AC4" s="1666">
        <f>AA4+1</f>
        <v>2023</v>
      </c>
      <c r="AD4" s="1666"/>
      <c r="AE4" s="1666">
        <f>AC4+1</f>
        <v>2024</v>
      </c>
      <c r="AF4" s="1666"/>
      <c r="AG4" s="1666">
        <f>AE4+1</f>
        <v>2025</v>
      </c>
      <c r="AH4" s="1667"/>
      <c r="AI4" s="1675">
        <f>AG4+1</f>
        <v>2026</v>
      </c>
      <c r="AJ4" s="1676"/>
      <c r="AK4" s="1678">
        <f>AI4+1</f>
        <v>2027</v>
      </c>
      <c r="AL4" s="1676"/>
      <c r="AM4" s="1678">
        <f>AK4+1</f>
        <v>2028</v>
      </c>
      <c r="AN4" s="1676"/>
      <c r="AO4" s="1678">
        <f>AM4+1</f>
        <v>2029</v>
      </c>
      <c r="AP4" s="1676"/>
      <c r="AQ4" s="1678">
        <f>AO4+1</f>
        <v>2030</v>
      </c>
      <c r="AR4" s="1676"/>
      <c r="AU4" s="1669"/>
      <c r="AV4" s="1671"/>
      <c r="AW4" s="1663">
        <v>2012</v>
      </c>
      <c r="AX4" s="1664"/>
      <c r="AY4" s="1665"/>
      <c r="AZ4" s="1663">
        <f>AW4+1</f>
        <v>2013</v>
      </c>
      <c r="BA4" s="1664"/>
      <c r="BB4" s="1665"/>
      <c r="BC4" s="1663">
        <f>AZ4+1</f>
        <v>2014</v>
      </c>
      <c r="BD4" s="1664"/>
      <c r="BE4" s="1665"/>
      <c r="BF4" s="1663">
        <f>BC4+1</f>
        <v>2015</v>
      </c>
      <c r="BG4" s="1664"/>
      <c r="BH4" s="1665"/>
      <c r="BI4" s="1663">
        <f>BF4+1</f>
        <v>2016</v>
      </c>
      <c r="BJ4" s="1664"/>
      <c r="BK4" s="1665"/>
      <c r="BL4" s="1663">
        <f>BI4+1</f>
        <v>2017</v>
      </c>
      <c r="BM4" s="1664"/>
      <c r="BN4" s="1665"/>
      <c r="BO4" s="1663">
        <f>BL4+1</f>
        <v>2018</v>
      </c>
      <c r="BP4" s="1664"/>
      <c r="BQ4" s="1665"/>
      <c r="BR4" s="1663">
        <f>BO4+1</f>
        <v>2019</v>
      </c>
      <c r="BS4" s="1664"/>
      <c r="BT4" s="1665"/>
      <c r="BU4" s="1663">
        <f>BR4+1</f>
        <v>2020</v>
      </c>
      <c r="BV4" s="1664"/>
      <c r="BW4" s="1665"/>
      <c r="BX4" s="1663">
        <f>BU4+1</f>
        <v>2021</v>
      </c>
      <c r="BY4" s="1664"/>
      <c r="BZ4" s="1665"/>
      <c r="CA4" s="1663">
        <f>BX4+1</f>
        <v>2022</v>
      </c>
      <c r="CB4" s="1664"/>
      <c r="CC4" s="1665"/>
      <c r="CD4" s="1663">
        <f>CA4+1</f>
        <v>2023</v>
      </c>
      <c r="CE4" s="1664"/>
      <c r="CF4" s="1665"/>
      <c r="CG4" s="1663">
        <f>CD4+1</f>
        <v>2024</v>
      </c>
      <c r="CH4" s="1664"/>
      <c r="CI4" s="1665"/>
      <c r="CJ4" s="1663">
        <f>CG4+1</f>
        <v>2025</v>
      </c>
      <c r="CK4" s="1664"/>
      <c r="CL4" s="1665"/>
      <c r="CM4" s="1663">
        <f>CJ4+1</f>
        <v>2026</v>
      </c>
      <c r="CN4" s="1664"/>
      <c r="CO4" s="1665"/>
      <c r="CP4" s="1663">
        <f>CM4+1</f>
        <v>2027</v>
      </c>
      <c r="CQ4" s="1664"/>
      <c r="CR4" s="1665"/>
      <c r="CS4" s="1663">
        <f>CP4+1</f>
        <v>2028</v>
      </c>
      <c r="CT4" s="1664"/>
      <c r="CU4" s="1665"/>
      <c r="CV4" s="1663">
        <f>CS4+1</f>
        <v>2029</v>
      </c>
      <c r="CW4" s="1664"/>
      <c r="CX4" s="1665"/>
    </row>
    <row r="5" spans="1:102" ht="12.75">
      <c r="A5" s="197" t="s">
        <v>256</v>
      </c>
      <c r="B5" s="198" t="s">
        <v>257</v>
      </c>
      <c r="C5" s="198" t="s">
        <v>258</v>
      </c>
      <c r="D5" s="198" t="s">
        <v>259</v>
      </c>
      <c r="E5" s="198" t="s">
        <v>258</v>
      </c>
      <c r="F5" s="198" t="s">
        <v>259</v>
      </c>
      <c r="G5" s="198" t="s">
        <v>258</v>
      </c>
      <c r="H5" s="198" t="s">
        <v>259</v>
      </c>
      <c r="I5" s="198" t="s">
        <v>258</v>
      </c>
      <c r="J5" s="198" t="s">
        <v>259</v>
      </c>
      <c r="K5" s="198" t="s">
        <v>258</v>
      </c>
      <c r="L5" s="198" t="s">
        <v>259</v>
      </c>
      <c r="M5" s="198" t="s">
        <v>258</v>
      </c>
      <c r="N5" s="198" t="s">
        <v>259</v>
      </c>
      <c r="O5" s="198" t="s">
        <v>258</v>
      </c>
      <c r="P5" s="199" t="s">
        <v>259</v>
      </c>
      <c r="Q5" s="198" t="s">
        <v>258</v>
      </c>
      <c r="R5" s="198" t="s">
        <v>259</v>
      </c>
      <c r="S5" s="198" t="s">
        <v>258</v>
      </c>
      <c r="T5" s="198" t="s">
        <v>259</v>
      </c>
      <c r="U5" s="199" t="s">
        <v>258</v>
      </c>
      <c r="V5" s="199" t="s">
        <v>259</v>
      </c>
      <c r="W5" s="198" t="s">
        <v>258</v>
      </c>
      <c r="X5" s="198" t="s">
        <v>259</v>
      </c>
      <c r="Y5" s="198" t="s">
        <v>258</v>
      </c>
      <c r="Z5" s="198" t="s">
        <v>259</v>
      </c>
      <c r="AA5" s="198" t="s">
        <v>258</v>
      </c>
      <c r="AB5" s="199" t="s">
        <v>259</v>
      </c>
      <c r="AC5" s="198" t="s">
        <v>258</v>
      </c>
      <c r="AD5" s="198" t="s">
        <v>259</v>
      </c>
      <c r="AE5" s="200" t="s">
        <v>258</v>
      </c>
      <c r="AF5" s="199" t="s">
        <v>259</v>
      </c>
      <c r="AG5" s="198" t="s">
        <v>258</v>
      </c>
      <c r="AH5" s="201" t="s">
        <v>259</v>
      </c>
      <c r="AI5" s="198" t="s">
        <v>258</v>
      </c>
      <c r="AJ5" s="201" t="s">
        <v>259</v>
      </c>
      <c r="AK5" s="198" t="s">
        <v>258</v>
      </c>
      <c r="AL5" s="201" t="s">
        <v>259</v>
      </c>
      <c r="AM5" s="198" t="s">
        <v>258</v>
      </c>
      <c r="AN5" s="201" t="s">
        <v>259</v>
      </c>
      <c r="AO5" s="198" t="s">
        <v>258</v>
      </c>
      <c r="AP5" s="201" t="s">
        <v>259</v>
      </c>
      <c r="AQ5" s="198" t="s">
        <v>258</v>
      </c>
      <c r="AR5" s="201" t="s">
        <v>259</v>
      </c>
      <c r="AU5" s="197" t="s">
        <v>256</v>
      </c>
      <c r="AV5" s="202" t="s">
        <v>257</v>
      </c>
      <c r="AW5" s="203" t="s">
        <v>258</v>
      </c>
      <c r="AX5" s="198" t="s">
        <v>259</v>
      </c>
      <c r="AY5" s="204" t="s">
        <v>260</v>
      </c>
      <c r="AZ5" s="203" t="s">
        <v>258</v>
      </c>
      <c r="BA5" s="198" t="s">
        <v>259</v>
      </c>
      <c r="BB5" s="204" t="s">
        <v>260</v>
      </c>
      <c r="BC5" s="203" t="s">
        <v>258</v>
      </c>
      <c r="BD5" s="198" t="s">
        <v>259</v>
      </c>
      <c r="BE5" s="204" t="s">
        <v>260</v>
      </c>
      <c r="BF5" s="203" t="s">
        <v>258</v>
      </c>
      <c r="BG5" s="198" t="s">
        <v>259</v>
      </c>
      <c r="BH5" s="204" t="s">
        <v>260</v>
      </c>
      <c r="BI5" s="203" t="s">
        <v>258</v>
      </c>
      <c r="BJ5" s="198" t="s">
        <v>259</v>
      </c>
      <c r="BK5" s="204" t="s">
        <v>260</v>
      </c>
      <c r="BL5" s="203" t="s">
        <v>258</v>
      </c>
      <c r="BM5" s="198" t="s">
        <v>259</v>
      </c>
      <c r="BN5" s="204" t="s">
        <v>260</v>
      </c>
      <c r="BO5" s="203" t="s">
        <v>258</v>
      </c>
      <c r="BP5" s="198" t="s">
        <v>259</v>
      </c>
      <c r="BQ5" s="204" t="s">
        <v>260</v>
      </c>
      <c r="BR5" s="203" t="s">
        <v>258</v>
      </c>
      <c r="BS5" s="198" t="s">
        <v>259</v>
      </c>
      <c r="BT5" s="204" t="s">
        <v>260</v>
      </c>
      <c r="BU5" s="203" t="s">
        <v>258</v>
      </c>
      <c r="BV5" s="198" t="s">
        <v>259</v>
      </c>
      <c r="BW5" s="204" t="s">
        <v>260</v>
      </c>
      <c r="BX5" s="203" t="s">
        <v>258</v>
      </c>
      <c r="BY5" s="198" t="s">
        <v>259</v>
      </c>
      <c r="BZ5" s="204" t="s">
        <v>260</v>
      </c>
      <c r="CA5" s="203" t="s">
        <v>258</v>
      </c>
      <c r="CB5" s="198" t="s">
        <v>259</v>
      </c>
      <c r="CC5" s="204" t="s">
        <v>260</v>
      </c>
      <c r="CD5" s="203" t="s">
        <v>258</v>
      </c>
      <c r="CE5" s="198" t="s">
        <v>259</v>
      </c>
      <c r="CF5" s="204" t="s">
        <v>260</v>
      </c>
      <c r="CG5" s="203" t="s">
        <v>258</v>
      </c>
      <c r="CH5" s="198" t="s">
        <v>259</v>
      </c>
      <c r="CI5" s="204" t="s">
        <v>260</v>
      </c>
      <c r="CJ5" s="203" t="s">
        <v>258</v>
      </c>
      <c r="CK5" s="198" t="s">
        <v>259</v>
      </c>
      <c r="CL5" s="204" t="s">
        <v>260</v>
      </c>
      <c r="CM5" s="203" t="s">
        <v>258</v>
      </c>
      <c r="CN5" s="198" t="s">
        <v>259</v>
      </c>
      <c r="CO5" s="204" t="s">
        <v>260</v>
      </c>
      <c r="CP5" s="203" t="s">
        <v>258</v>
      </c>
      <c r="CQ5" s="198" t="s">
        <v>259</v>
      </c>
      <c r="CR5" s="204" t="s">
        <v>260</v>
      </c>
      <c r="CS5" s="203" t="s">
        <v>258</v>
      </c>
      <c r="CT5" s="198" t="s">
        <v>259</v>
      </c>
      <c r="CU5" s="204" t="s">
        <v>260</v>
      </c>
      <c r="CV5" s="203" t="s">
        <v>258</v>
      </c>
      <c r="CW5" s="198" t="s">
        <v>259</v>
      </c>
      <c r="CX5" s="204" t="s">
        <v>260</v>
      </c>
    </row>
    <row r="6" spans="1:102" ht="12.75">
      <c r="A6" s="205"/>
      <c r="B6" s="206"/>
      <c r="C6" s="206"/>
      <c r="D6" s="206"/>
      <c r="E6" s="207">
        <f>G6+I6+K6+M6+O6+Q6+S6+U6+W6+Y6+AA6+AC6+AE6+AG6</f>
        <v>0</v>
      </c>
      <c r="F6" s="207">
        <f>H6+J6+L6+N6+P6+R6</f>
        <v>0</v>
      </c>
      <c r="G6" s="206"/>
      <c r="H6" s="206"/>
      <c r="I6" s="206"/>
      <c r="J6" s="206"/>
      <c r="K6" s="206"/>
      <c r="L6" s="208"/>
      <c r="M6" s="206"/>
      <c r="N6" s="206"/>
      <c r="O6" s="206"/>
      <c r="P6" s="206"/>
      <c r="Q6" s="208"/>
      <c r="R6" s="208"/>
      <c r="S6" s="206"/>
      <c r="T6" s="206"/>
      <c r="U6" s="206"/>
      <c r="V6" s="206"/>
      <c r="W6" s="206"/>
      <c r="X6" s="208"/>
      <c r="Y6" s="206"/>
      <c r="Z6" s="206"/>
      <c r="AA6" s="209"/>
      <c r="AB6" s="208"/>
      <c r="AC6" s="206"/>
      <c r="AD6" s="210"/>
      <c r="AE6" s="206"/>
      <c r="AF6" s="210"/>
      <c r="AG6" s="206"/>
      <c r="AH6" s="210"/>
      <c r="AI6" s="206"/>
      <c r="AJ6" s="210"/>
      <c r="AK6" s="206"/>
      <c r="AL6" s="210"/>
      <c r="AM6" s="206"/>
      <c r="AN6" s="210"/>
      <c r="AO6" s="206"/>
      <c r="AP6" s="210"/>
      <c r="AQ6" s="206"/>
      <c r="AR6" s="210"/>
      <c r="AU6" s="205">
        <f t="shared" ref="AU6:AV10" si="0">A6</f>
        <v>0</v>
      </c>
      <c r="AV6" s="206">
        <f t="shared" si="0"/>
        <v>0</v>
      </c>
      <c r="AW6" s="211">
        <f>SUM($I6,$K6,$M6,$O6,$Q6,$S6,$U6,$W6,$Y6,$AA6,$AC6,$AE6,$AG6)</f>
        <v>0</v>
      </c>
      <c r="AX6" s="206">
        <f>SUM($J6,$L6,$N6,$P6,$R6,$T6,$V6,$X6,$Z6,$AB6,$AD6,$AF6,$AH6)</f>
        <v>0</v>
      </c>
      <c r="AY6" s="212">
        <f>SUM(AW6,AX6)</f>
        <v>0</v>
      </c>
      <c r="AZ6" s="211">
        <f>SUM($K6,$M6,$O6,$Q6,$S6,$U6,$W6,$Y6,$AA6,$AC6,$AE6,$AG6)</f>
        <v>0</v>
      </c>
      <c r="BA6" s="206">
        <f>SUM($L6,$N6,$P6,$R6,$T6,$V6,$X6,$Z6,$AB6,$AD6,$AF6,$AH6)</f>
        <v>0</v>
      </c>
      <c r="BB6" s="212">
        <f>SUM(AZ6,BA6)</f>
        <v>0</v>
      </c>
      <c r="BC6" s="211">
        <f>SUM($M6,$O6,$Q6,$S6,$U6,$W6,$Y6,$AA6,$AC6,$AE6,$AG6)</f>
        <v>0</v>
      </c>
      <c r="BD6" s="206">
        <f>SUM($N6,$P6,$R6,$T6,$V6,$X6,$Z6,$AB6,$AD6,$AF6,$AH6)</f>
        <v>0</v>
      </c>
      <c r="BE6" s="212">
        <f>SUM(BC6,BD6)</f>
        <v>0</v>
      </c>
      <c r="BF6" s="211">
        <f>SUM($O6,$Q6,$S6,$U6,$W6,$Y6,$AA6,$AC6,$AE6,$AG6)</f>
        <v>0</v>
      </c>
      <c r="BG6" s="206">
        <f>SUM($P6,$R6,$T6,$V6,$X6,$Z6,$AB6,$AD6,$AF6,$AH6)</f>
        <v>0</v>
      </c>
      <c r="BH6" s="212">
        <f>SUM(BF6,BG6)</f>
        <v>0</v>
      </c>
      <c r="BI6" s="211">
        <f>SUM($Q6,$S6,$U6,$W6,$Y6,$AA6,$AC6,$AE6,$AG6)</f>
        <v>0</v>
      </c>
      <c r="BJ6" s="206">
        <f>SUM($R6,$T6,$V6,$X6,$Z6,$AB6,$AD6,$AF6,$AH6)</f>
        <v>0</v>
      </c>
      <c r="BK6" s="212">
        <f>SUM(BI6,BJ6)</f>
        <v>0</v>
      </c>
      <c r="BL6" s="211">
        <f>SUM($S6,$U6,$W6,$Y6,$AA6,$AC6,$AE6,$AG6)</f>
        <v>0</v>
      </c>
      <c r="BM6" s="206">
        <f>SUM($T6,$V6,$X6,$Z6,$AB6,$AD6,$AF6,$AH6)</f>
        <v>0</v>
      </c>
      <c r="BN6" s="212">
        <f>SUM(BL6,BM6)</f>
        <v>0</v>
      </c>
      <c r="BO6" s="211">
        <f>SUM($U6,$W6,$Y6,$AA6,$AC6,$AE6,$AG6)</f>
        <v>0</v>
      </c>
      <c r="BP6" s="206">
        <f>SUM($V6,$X6,$Z6,$AB6,$AD6,$AF6,$AH6)</f>
        <v>0</v>
      </c>
      <c r="BQ6" s="212">
        <f>SUM(BO6,BP6)</f>
        <v>0</v>
      </c>
      <c r="BR6" s="211">
        <f>SUM($W6,$Y6,$AA6,$AC6,$AE6,$AG6)</f>
        <v>0</v>
      </c>
      <c r="BS6" s="206">
        <f>SUM($X6,$Z6,$AB6,$AD6,$AF6,$AH6)</f>
        <v>0</v>
      </c>
      <c r="BT6" s="212">
        <f>SUM(BR6,BS6)</f>
        <v>0</v>
      </c>
      <c r="BU6" s="211">
        <f>SUM($Y6,$AA6,$AC6,$AE6,$AG6)</f>
        <v>0</v>
      </c>
      <c r="BV6" s="206">
        <f>SUM($Z6,$AB6,$AD6,$AF6,$AH6)</f>
        <v>0</v>
      </c>
      <c r="BW6" s="212">
        <f>SUM(BU6,BV6)</f>
        <v>0</v>
      </c>
      <c r="BX6" s="211">
        <f>SUM($AA6,$AC6,$AE6,$AG6)</f>
        <v>0</v>
      </c>
      <c r="BY6" s="206">
        <f>SUM($AB6,$AD6,$AF6,$AH6)</f>
        <v>0</v>
      </c>
      <c r="BZ6" s="212">
        <f>SUM(BX6,BY6)</f>
        <v>0</v>
      </c>
      <c r="CA6" s="211">
        <f>SUM($AC6,$AE6,$AG6)</f>
        <v>0</v>
      </c>
      <c r="CB6" s="206">
        <f>SUM($AD6,$AF6,$AH6)</f>
        <v>0</v>
      </c>
      <c r="CC6" s="212">
        <f>SUM(CA6,CB6)</f>
        <v>0</v>
      </c>
      <c r="CD6" s="211">
        <f>SUM($AE6,$AG6)</f>
        <v>0</v>
      </c>
      <c r="CE6" s="206">
        <f>SUM($AF6,$AH6)</f>
        <v>0</v>
      </c>
      <c r="CF6" s="212">
        <f>SUM(CD6,CE6)</f>
        <v>0</v>
      </c>
      <c r="CG6" s="211">
        <f>SUM($AE6,$AG6)</f>
        <v>0</v>
      </c>
      <c r="CH6" s="206">
        <f>SUM($AF6,$AH6)</f>
        <v>0</v>
      </c>
      <c r="CI6" s="212">
        <f>SUM(CG6,CH6)</f>
        <v>0</v>
      </c>
      <c r="CJ6" s="211">
        <f>SUM($AE6,$AG6)</f>
        <v>0</v>
      </c>
      <c r="CK6" s="206">
        <f>SUM($AF6,$AH6)</f>
        <v>0</v>
      </c>
      <c r="CL6" s="212">
        <f>SUM(CJ6,CK6)</f>
        <v>0</v>
      </c>
      <c r="CM6" s="211">
        <f>SUM($AE6,$AG6)</f>
        <v>0</v>
      </c>
      <c r="CN6" s="206">
        <f>SUM($AF6,$AH6)</f>
        <v>0</v>
      </c>
      <c r="CO6" s="212">
        <f>SUM(CM6,CN6)</f>
        <v>0</v>
      </c>
      <c r="CP6" s="211">
        <f>SUM($AE6,$AG6)</f>
        <v>0</v>
      </c>
      <c r="CQ6" s="206">
        <f>SUM($AF6,$AH6)</f>
        <v>0</v>
      </c>
      <c r="CR6" s="212">
        <f>SUM(CP6,CQ6)</f>
        <v>0</v>
      </c>
      <c r="CS6" s="211">
        <f>SUM($AE6,$AG6)</f>
        <v>0</v>
      </c>
      <c r="CT6" s="206">
        <f>SUM($AF6,$AH6)</f>
        <v>0</v>
      </c>
      <c r="CU6" s="212">
        <f>SUM(CS6,CT6)</f>
        <v>0</v>
      </c>
      <c r="CV6" s="211">
        <f>SUM($AE6,$AG6)</f>
        <v>0</v>
      </c>
      <c r="CW6" s="206">
        <f>SUM($AF6,$AH6)</f>
        <v>0</v>
      </c>
      <c r="CX6" s="212">
        <f>SUM(CV6,CW6)</f>
        <v>0</v>
      </c>
    </row>
    <row r="7" spans="1:102" ht="12.75">
      <c r="A7" s="205"/>
      <c r="B7" s="206"/>
      <c r="C7" s="206"/>
      <c r="D7" s="206"/>
      <c r="E7" s="207">
        <f>G7+I7+K7+M7+O7+Q7+S7+U7+W7+Y7+AA7+AC7+AE7+AG7</f>
        <v>0</v>
      </c>
      <c r="F7" s="207">
        <f>H7+J7+L7+N7+P7+R7</f>
        <v>0</v>
      </c>
      <c r="G7" s="206"/>
      <c r="H7" s="206"/>
      <c r="I7" s="206"/>
      <c r="J7" s="206"/>
      <c r="K7" s="206"/>
      <c r="L7" s="208"/>
      <c r="M7" s="206"/>
      <c r="N7" s="206"/>
      <c r="O7" s="206"/>
      <c r="P7" s="206"/>
      <c r="Q7" s="208"/>
      <c r="R7" s="208"/>
      <c r="S7" s="206"/>
      <c r="T7" s="206"/>
      <c r="U7" s="206"/>
      <c r="V7" s="206"/>
      <c r="W7" s="206"/>
      <c r="X7" s="208"/>
      <c r="Y7" s="206"/>
      <c r="Z7" s="206"/>
      <c r="AA7" s="209"/>
      <c r="AB7" s="208"/>
      <c r="AC7" s="206"/>
      <c r="AD7" s="210"/>
      <c r="AE7" s="206"/>
      <c r="AF7" s="210"/>
      <c r="AG7" s="206"/>
      <c r="AH7" s="210"/>
      <c r="AI7" s="206"/>
      <c r="AJ7" s="210"/>
      <c r="AK7" s="206"/>
      <c r="AL7" s="210"/>
      <c r="AM7" s="206"/>
      <c r="AN7" s="210"/>
      <c r="AO7" s="206"/>
      <c r="AP7" s="210"/>
      <c r="AQ7" s="206"/>
      <c r="AR7" s="210"/>
      <c r="AU7" s="205">
        <f t="shared" si="0"/>
        <v>0</v>
      </c>
      <c r="AV7" s="206">
        <f t="shared" si="0"/>
        <v>0</v>
      </c>
      <c r="AW7" s="211">
        <f>SUM($I7,$K7,$M7,$O7,$Q7,$S7,$U7,$W7,$Y7,$AA7,$AC7,$AE7,$AG7)</f>
        <v>0</v>
      </c>
      <c r="AX7" s="206">
        <f>SUM($J7,$L7,$N7,$P7,$R7,$T7,$V7,$X7,$Z7,$AB7,$AD7,$AF7,$AH7)</f>
        <v>0</v>
      </c>
      <c r="AY7" s="212">
        <f>SUM(AW7,AX7)</f>
        <v>0</v>
      </c>
      <c r="AZ7" s="211">
        <f>SUM($K7,$M7,$O7,$Q7,$S7,$U7,$W7,$Y7,$AA7,$AC7,$AE7,$AG7)</f>
        <v>0</v>
      </c>
      <c r="BA7" s="211">
        <f>SUM($L7,$N7,$P7,$R7,$T7,$V7,$X7,$Z7,$AB7,$AD7,$AF7,$AH7)</f>
        <v>0</v>
      </c>
      <c r="BB7" s="212">
        <f>SUM(AZ7,BA7)</f>
        <v>0</v>
      </c>
      <c r="BC7" s="211">
        <f>SUM($M7,$O7,$Q7,$S7,$U7,$W7,$Y7,$AA7,$AC7,$AE7,$AG7)</f>
        <v>0</v>
      </c>
      <c r="BD7" s="206">
        <f>SUM($N7,$P7,$R7,$T7,$V7,$X7,$Z7,$AB7,$AD7,$AF7,$AH7)</f>
        <v>0</v>
      </c>
      <c r="BE7" s="212">
        <f>SUM(BC7,BD7)</f>
        <v>0</v>
      </c>
      <c r="BF7" s="211">
        <f>SUM($O7,$Q7,$S7,$U7,$W7,$Y7,$AA7,$AC7,$AE7,$AG7)</f>
        <v>0</v>
      </c>
      <c r="BG7" s="211">
        <f>SUM($P7,$R7,$T7,$V7,$X7,$Z7,$AB7,$AD7,$AF7,$AH7)</f>
        <v>0</v>
      </c>
      <c r="BH7" s="212">
        <f>SUM(BF7,BG7)</f>
        <v>0</v>
      </c>
      <c r="BI7" s="211">
        <f>SUM($Q7,$S7,$U7,$W7,$Y7,$AA7,$AC7,$AE7,$AG7)</f>
        <v>0</v>
      </c>
      <c r="BJ7" s="206">
        <f>SUM($R7,$T7,$V7,$X7,$Z7,$AB7,$AD7,$AF7,$AH7)</f>
        <v>0</v>
      </c>
      <c r="BK7" s="212">
        <f>SUM(BI7,BJ7)</f>
        <v>0</v>
      </c>
      <c r="BL7" s="211">
        <f>SUM($S7,$U7,$W7,$Y7,$AA7,$AC7,$AE7,$AG7)</f>
        <v>0</v>
      </c>
      <c r="BM7" s="206">
        <f>SUM($T7,$V7,$X7,$Z7,$AB7,$AD7,$AF7,$AH7)</f>
        <v>0</v>
      </c>
      <c r="BN7" s="212">
        <f>SUM(BL7,BM7)</f>
        <v>0</v>
      </c>
      <c r="BO7" s="211">
        <f>SUM($U7,$W7,$Y7,$AA7,$AC7,$AE7,$AG7)</f>
        <v>0</v>
      </c>
      <c r="BP7" s="206">
        <f>SUM($V7,$X7,$Z7,$AB7,$AD7,$AF7,$AH7)</f>
        <v>0</v>
      </c>
      <c r="BQ7" s="212">
        <f>SUM(BO7,BP7)</f>
        <v>0</v>
      </c>
      <c r="BR7" s="211">
        <f>SUM($W7,$Y7,$AA7,$AC7,$AE7,$AG7)</f>
        <v>0</v>
      </c>
      <c r="BS7" s="206">
        <f>SUM($X7,$Z7,$AB7,$AD7,$AF7,$AH7)</f>
        <v>0</v>
      </c>
      <c r="BT7" s="212">
        <f>SUM(BR7,BS7)</f>
        <v>0</v>
      </c>
      <c r="BU7" s="211">
        <f>SUM($Y7,$AA7,$AC7,$AE7,$AG7)</f>
        <v>0</v>
      </c>
      <c r="BV7" s="206">
        <f>SUM($Z7,$AB7,$AD7,$AF7,$AH7)</f>
        <v>0</v>
      </c>
      <c r="BW7" s="212">
        <f>SUM(BU7,BV7)</f>
        <v>0</v>
      </c>
      <c r="BX7" s="211">
        <f>SUM($AA7,$AC7,$AE7,$AG7)</f>
        <v>0</v>
      </c>
      <c r="BY7" s="206">
        <f>SUM($AB7,$AD7,$AF7,$AH7)</f>
        <v>0</v>
      </c>
      <c r="BZ7" s="212">
        <f>SUM(BX7,BY7)</f>
        <v>0</v>
      </c>
      <c r="CA7" s="211">
        <f>SUM($AC7,$AE7,$AG7)</f>
        <v>0</v>
      </c>
      <c r="CB7" s="206">
        <f>SUM($AD7,$AF7,$AH7)</f>
        <v>0</v>
      </c>
      <c r="CC7" s="212">
        <f>SUM(CA7,CB7)</f>
        <v>0</v>
      </c>
      <c r="CD7" s="211">
        <f>SUM($AE7,$AG7)</f>
        <v>0</v>
      </c>
      <c r="CE7" s="206">
        <f>SUM($AF7,$AH7)</f>
        <v>0</v>
      </c>
      <c r="CF7" s="212">
        <f>SUM(CD7,CE7)</f>
        <v>0</v>
      </c>
      <c r="CG7" s="211">
        <f>SUM($AE7,$AG7)</f>
        <v>0</v>
      </c>
      <c r="CH7" s="206">
        <f>SUM($AF7,$AH7)</f>
        <v>0</v>
      </c>
      <c r="CI7" s="212">
        <f>SUM(CG7,CH7)</f>
        <v>0</v>
      </c>
      <c r="CJ7" s="211">
        <f>SUM($AE7,$AG7)</f>
        <v>0</v>
      </c>
      <c r="CK7" s="206">
        <f>SUM($AF7,$AH7)</f>
        <v>0</v>
      </c>
      <c r="CL7" s="212">
        <f>SUM(CJ7,CK7)</f>
        <v>0</v>
      </c>
      <c r="CM7" s="211">
        <f>SUM($AE7,$AG7)</f>
        <v>0</v>
      </c>
      <c r="CN7" s="206">
        <f>SUM($AF7,$AH7)</f>
        <v>0</v>
      </c>
      <c r="CO7" s="212">
        <f>SUM(CM7,CN7)</f>
        <v>0</v>
      </c>
      <c r="CP7" s="211">
        <f>SUM($AE7,$AG7)</f>
        <v>0</v>
      </c>
      <c r="CQ7" s="206">
        <f>SUM($AF7,$AH7)</f>
        <v>0</v>
      </c>
      <c r="CR7" s="212">
        <f>SUM(CP7,CQ7)</f>
        <v>0</v>
      </c>
      <c r="CS7" s="211">
        <f>SUM($AE7,$AG7)</f>
        <v>0</v>
      </c>
      <c r="CT7" s="206">
        <f>SUM($AF7,$AH7)</f>
        <v>0</v>
      </c>
      <c r="CU7" s="212">
        <f>SUM(CS7,CT7)</f>
        <v>0</v>
      </c>
      <c r="CV7" s="211">
        <f>SUM($AE7,$AG7)</f>
        <v>0</v>
      </c>
      <c r="CW7" s="206">
        <f>SUM($AF7,$AH7)</f>
        <v>0</v>
      </c>
      <c r="CX7" s="212">
        <f>SUM(CV7,CW7)</f>
        <v>0</v>
      </c>
    </row>
    <row r="8" spans="1:102" s="213" customFormat="1" ht="12.75">
      <c r="A8" s="205" t="s">
        <v>261</v>
      </c>
      <c r="B8" s="206"/>
      <c r="C8" s="206"/>
      <c r="D8" s="206"/>
      <c r="E8" s="207">
        <f>G8+I8+K8+M8+O8+Q8+S8+U8+W8+Y8+AA8+AC8+AE8+AG8</f>
        <v>0</v>
      </c>
      <c r="F8" s="207">
        <f>H8+J8+L8+N8+P8+R8</f>
        <v>0</v>
      </c>
      <c r="G8" s="206"/>
      <c r="H8" s="206"/>
      <c r="I8" s="206"/>
      <c r="J8" s="206"/>
      <c r="K8" s="206"/>
      <c r="L8" s="208"/>
      <c r="M8" s="206"/>
      <c r="N8" s="206"/>
      <c r="O8" s="206"/>
      <c r="P8" s="206"/>
      <c r="Q8" s="208"/>
      <c r="R8" s="208"/>
      <c r="S8" s="206"/>
      <c r="T8" s="206"/>
      <c r="U8" s="206"/>
      <c r="V8" s="206"/>
      <c r="W8" s="206"/>
      <c r="X8" s="208"/>
      <c r="Y8" s="206"/>
      <c r="Z8" s="206"/>
      <c r="AA8" s="209"/>
      <c r="AB8" s="208"/>
      <c r="AC8" s="206"/>
      <c r="AD8" s="210"/>
      <c r="AE8" s="206"/>
      <c r="AF8" s="210"/>
      <c r="AG8" s="206"/>
      <c r="AH8" s="210"/>
      <c r="AI8" s="206"/>
      <c r="AJ8" s="210"/>
      <c r="AK8" s="206"/>
      <c r="AL8" s="210"/>
      <c r="AM8" s="206"/>
      <c r="AN8" s="210"/>
      <c r="AO8" s="206"/>
      <c r="AP8" s="210"/>
      <c r="AQ8" s="206"/>
      <c r="AR8" s="210"/>
      <c r="AU8" s="205" t="str">
        <f t="shared" si="0"/>
        <v xml:space="preserve"> -</v>
      </c>
      <c r="AV8" s="206">
        <f t="shared" si="0"/>
        <v>0</v>
      </c>
      <c r="AW8" s="211">
        <f>SUM($I8,$K8,$M8,$O8,$Q8,$S8,$U8,$W8,$Y8,$AA8,$AC8,$AE8,$AG8)</f>
        <v>0</v>
      </c>
      <c r="AX8" s="206">
        <f>SUM($J8,$L8,$N8,$P8,$R8,$T8,$V8,$X8,$Z8,$AB8,$AD8,$AF8,$AH8)</f>
        <v>0</v>
      </c>
      <c r="AY8" s="212">
        <f>SUM(AW8,AX8)</f>
        <v>0</v>
      </c>
      <c r="AZ8" s="211">
        <f>SUM($K8,$M8,$O8,$Q8,$S8,$U8,$W8,$Y8,$AA8,$AC8,$AE8,$AG8)</f>
        <v>0</v>
      </c>
      <c r="BA8" s="211">
        <f>SUM($L8,$N8,$P8,$R8,$T8,$V8,$X8,$Z8,$AB8,$AD8,$AF8,$AH8)</f>
        <v>0</v>
      </c>
      <c r="BB8" s="212">
        <f>SUM(AZ8,BA8)</f>
        <v>0</v>
      </c>
      <c r="BC8" s="211">
        <f>SUM($M8,$O8,$Q8,$S8,$U8,$W8,$Y8,$AA8,$AC8,$AE8,$AG8)</f>
        <v>0</v>
      </c>
      <c r="BD8" s="206">
        <f>SUM($N8,$P8,$R8,$T8,$V8,$X8,$Z8,$AB8,$AD8,$AF8,$AH8)</f>
        <v>0</v>
      </c>
      <c r="BE8" s="212">
        <f>SUM(BC8,BD8)</f>
        <v>0</v>
      </c>
      <c r="BF8" s="211">
        <f>SUM($O8,$Q8,$S8,$U8,$W8,$Y8,$AA8,$AC8,$AE8,$AG8)</f>
        <v>0</v>
      </c>
      <c r="BG8" s="211">
        <f>SUM($P8,$R8,$T8,$V8,$X8,$Z8,$AB8,$AD8,$AF8,$AH8)</f>
        <v>0</v>
      </c>
      <c r="BH8" s="212">
        <f>SUM(BF8,BG8)</f>
        <v>0</v>
      </c>
      <c r="BI8" s="211">
        <f>SUM($Q8,$S8,$U8,$W8,$Y8,$AA8,$AC8,$AE8,$AG8)</f>
        <v>0</v>
      </c>
      <c r="BJ8" s="206">
        <f>SUM($R8,$T8,$V8,$X8,$Z8,$AB8,$AD8,$AF8,$AH8)</f>
        <v>0</v>
      </c>
      <c r="BK8" s="212">
        <f>SUM(BI8,BJ8)</f>
        <v>0</v>
      </c>
      <c r="BL8" s="211">
        <f>SUM($S8,$U8,$W8,$Y8,$AA8,$AC8,$AE8,$AG8)</f>
        <v>0</v>
      </c>
      <c r="BM8" s="206">
        <f>SUM($T8,$V8,$X8,$Z8,$AB8,$AD8,$AF8,$AH8)</f>
        <v>0</v>
      </c>
      <c r="BN8" s="212">
        <f>SUM(BL8,BM8)</f>
        <v>0</v>
      </c>
      <c r="BO8" s="211">
        <f>SUM($U8,$W8,$Y8,$AA8,$AC8,$AE8,$AG8)</f>
        <v>0</v>
      </c>
      <c r="BP8" s="206">
        <f>SUM($V8,$X8,$Z8,$AB8,$AD8,$AF8,$AH8)</f>
        <v>0</v>
      </c>
      <c r="BQ8" s="212">
        <f>SUM(BO8,BP8)</f>
        <v>0</v>
      </c>
      <c r="BR8" s="211">
        <f>SUM($W8,$Y8,$AA8,$AC8,$AE8,$AG8)</f>
        <v>0</v>
      </c>
      <c r="BS8" s="206">
        <f>SUM($X8,$Z8,$AB8,$AD8,$AF8,$AH8)</f>
        <v>0</v>
      </c>
      <c r="BT8" s="212">
        <f>SUM(BR8,BS8)</f>
        <v>0</v>
      </c>
      <c r="BU8" s="211">
        <f>SUM($Y8,$AA8,$AC8,$AE8,$AG8)</f>
        <v>0</v>
      </c>
      <c r="BV8" s="206">
        <f>SUM($Z8,$AB8,$AD8,$AF8,$AH8)</f>
        <v>0</v>
      </c>
      <c r="BW8" s="212">
        <f>SUM(BU8,BV8)</f>
        <v>0</v>
      </c>
      <c r="BX8" s="211">
        <f>SUM($AA8,$AC8,$AE8,$AG8)</f>
        <v>0</v>
      </c>
      <c r="BY8" s="206">
        <f>SUM($AB8,$AD8,$AF8,$AH8)</f>
        <v>0</v>
      </c>
      <c r="BZ8" s="212">
        <f>SUM(BX8,BY8)</f>
        <v>0</v>
      </c>
      <c r="CA8" s="211">
        <f>SUM($AC8,$AE8,$AG8)</f>
        <v>0</v>
      </c>
      <c r="CB8" s="206">
        <f>SUM($AD8,$AF8,$AH8)</f>
        <v>0</v>
      </c>
      <c r="CC8" s="212">
        <f>SUM(CA8,CB8)</f>
        <v>0</v>
      </c>
      <c r="CD8" s="211">
        <f>SUM($AE8,$AG8)</f>
        <v>0</v>
      </c>
      <c r="CE8" s="206">
        <f>SUM($AF8,$AH8)</f>
        <v>0</v>
      </c>
      <c r="CF8" s="212">
        <f>SUM(CD8,CE8)</f>
        <v>0</v>
      </c>
      <c r="CG8" s="211">
        <f>SUM($AE8,$AG8)</f>
        <v>0</v>
      </c>
      <c r="CH8" s="206">
        <f>SUM($AF8,$AH8)</f>
        <v>0</v>
      </c>
      <c r="CI8" s="212">
        <f>SUM(CG8,CH8)</f>
        <v>0</v>
      </c>
      <c r="CJ8" s="211">
        <f>SUM($AE8,$AG8)</f>
        <v>0</v>
      </c>
      <c r="CK8" s="206">
        <f>SUM($AF8,$AH8)</f>
        <v>0</v>
      </c>
      <c r="CL8" s="212">
        <f>SUM(CJ8,CK8)</f>
        <v>0</v>
      </c>
      <c r="CM8" s="211">
        <f>SUM($AE8,$AG8)</f>
        <v>0</v>
      </c>
      <c r="CN8" s="206">
        <f>SUM($AF8,$AH8)</f>
        <v>0</v>
      </c>
      <c r="CO8" s="212">
        <f>SUM(CM8,CN8)</f>
        <v>0</v>
      </c>
      <c r="CP8" s="211">
        <f>SUM($AE8,$AG8)</f>
        <v>0</v>
      </c>
      <c r="CQ8" s="206">
        <f>SUM($AF8,$AH8)</f>
        <v>0</v>
      </c>
      <c r="CR8" s="212">
        <f>SUM(CP8,CQ8)</f>
        <v>0</v>
      </c>
      <c r="CS8" s="211">
        <f>SUM($AE8,$AG8)</f>
        <v>0</v>
      </c>
      <c r="CT8" s="206">
        <f>SUM($AF8,$AH8)</f>
        <v>0</v>
      </c>
      <c r="CU8" s="212">
        <f>SUM(CS8,CT8)</f>
        <v>0</v>
      </c>
      <c r="CV8" s="211">
        <f>SUM($AE8,$AG8)</f>
        <v>0</v>
      </c>
      <c r="CW8" s="206">
        <f>SUM($AF8,$AH8)</f>
        <v>0</v>
      </c>
      <c r="CX8" s="212">
        <f>SUM(CV8,CW8)</f>
        <v>0</v>
      </c>
    </row>
    <row r="9" spans="1:102" ht="12.75">
      <c r="A9" s="205" t="s">
        <v>261</v>
      </c>
      <c r="B9" s="206"/>
      <c r="C9" s="206"/>
      <c r="D9" s="206"/>
      <c r="E9" s="207">
        <f>G9+I9+K9+M9+O9+Q9+S9+U9+W9+Y9+AA9+AC9+AE9+AG9</f>
        <v>0</v>
      </c>
      <c r="F9" s="207">
        <f>H9+J9+L9+N9+P9+R9</f>
        <v>0</v>
      </c>
      <c r="G9" s="206"/>
      <c r="H9" s="206"/>
      <c r="I9" s="206"/>
      <c r="J9" s="206"/>
      <c r="K9" s="206"/>
      <c r="L9" s="208"/>
      <c r="M9" s="206"/>
      <c r="N9" s="206"/>
      <c r="O9" s="206"/>
      <c r="P9" s="206"/>
      <c r="Q9" s="208"/>
      <c r="R9" s="208"/>
      <c r="S9" s="206"/>
      <c r="T9" s="206"/>
      <c r="U9" s="206"/>
      <c r="V9" s="206"/>
      <c r="W9" s="206"/>
      <c r="X9" s="208"/>
      <c r="Y9" s="206"/>
      <c r="Z9" s="206"/>
      <c r="AA9" s="209"/>
      <c r="AB9" s="208"/>
      <c r="AC9" s="206"/>
      <c r="AD9" s="210"/>
      <c r="AE9" s="206"/>
      <c r="AF9" s="210"/>
      <c r="AG9" s="206"/>
      <c r="AH9" s="210"/>
      <c r="AI9" s="206"/>
      <c r="AJ9" s="210"/>
      <c r="AK9" s="206"/>
      <c r="AL9" s="210"/>
      <c r="AM9" s="206"/>
      <c r="AN9" s="210"/>
      <c r="AO9" s="206"/>
      <c r="AP9" s="210"/>
      <c r="AQ9" s="206"/>
      <c r="AR9" s="210"/>
      <c r="AU9" s="205" t="str">
        <f t="shared" si="0"/>
        <v xml:space="preserve"> -</v>
      </c>
      <c r="AV9" s="206">
        <f t="shared" si="0"/>
        <v>0</v>
      </c>
      <c r="AW9" s="211">
        <f>SUM($I9,$K9,$M9,$O9,$Q9,$S9,$U9,$W9,$Y9,$AA9,$AC9,$AE9,$AG9)</f>
        <v>0</v>
      </c>
      <c r="AX9" s="206">
        <f>SUM($J9,$L9,$N9,$P9,$R9,$T9,$V9,$X9,$Z9,$AB9,$AD9,$AF9,$AH9)</f>
        <v>0</v>
      </c>
      <c r="AY9" s="212">
        <f>SUM(AW9,AX9)</f>
        <v>0</v>
      </c>
      <c r="AZ9" s="211">
        <f>SUM($K9,$M9,$O9,$Q9,$S9,$U9,$W9,$Y9,$AA9,$AC9,$AE9,$AG9)</f>
        <v>0</v>
      </c>
      <c r="BA9" s="211">
        <f>SUM($L9,$N9,$P9,$R9,$T9,$V9,$X9,$Z9,$AB9,$AD9,$AF9,$AH9)</f>
        <v>0</v>
      </c>
      <c r="BB9" s="212">
        <f>SUM(AZ9,BA9)</f>
        <v>0</v>
      </c>
      <c r="BC9" s="211">
        <f>SUM($M9,$O9,$Q9,$S9,$U9,$W9,$Y9,$AA9,$AC9,$AE9,$AG9)</f>
        <v>0</v>
      </c>
      <c r="BD9" s="206">
        <f>SUM($N9,$P9,$R9,$T9,$V9,$X9,$Z9,$AB9,$AD9,$AF9,$AH9)</f>
        <v>0</v>
      </c>
      <c r="BE9" s="212">
        <f>SUM(BC9,BD9)</f>
        <v>0</v>
      </c>
      <c r="BF9" s="211">
        <f>SUM($O9,$Q9,$S9,$U9,$W9,$Y9,$AA9,$AC9,$AE9,$AG9)</f>
        <v>0</v>
      </c>
      <c r="BG9" s="211">
        <f>SUM($P9,$R9,$T9,$V9,$X9,$Z9,$AB9,$AD9,$AF9,$AH9)</f>
        <v>0</v>
      </c>
      <c r="BH9" s="212">
        <f>SUM(BF9,BG9)</f>
        <v>0</v>
      </c>
      <c r="BI9" s="211">
        <f>SUM($Q9,$S9,$U9,$W9,$Y9,$AA9,$AC9,$AE9,$AG9)</f>
        <v>0</v>
      </c>
      <c r="BJ9" s="206">
        <f>SUM($R9,$T9,$V9,$X9,$Z9,$AB9,$AD9,$AF9,$AH9)</f>
        <v>0</v>
      </c>
      <c r="BK9" s="212">
        <f>SUM(BI9,BJ9)</f>
        <v>0</v>
      </c>
      <c r="BL9" s="211">
        <f>SUM($S9,$U9,$W9,$Y9,$AA9,$AC9,$AE9,$AG9)</f>
        <v>0</v>
      </c>
      <c r="BM9" s="206">
        <f>SUM($T9,$V9,$X9,$Z9,$AB9,$AD9,$AF9,$AH9)</f>
        <v>0</v>
      </c>
      <c r="BN9" s="212">
        <f>SUM(BL9,BM9)</f>
        <v>0</v>
      </c>
      <c r="BO9" s="211">
        <f>SUM($U9,$W9,$Y9,$AA9,$AC9,$AE9,$AG9)</f>
        <v>0</v>
      </c>
      <c r="BP9" s="206">
        <f>SUM($V9,$X9,$Z9,$AB9,$AD9,$AF9,$AH9)</f>
        <v>0</v>
      </c>
      <c r="BQ9" s="212">
        <f>SUM(BO9,BP9)</f>
        <v>0</v>
      </c>
      <c r="BR9" s="211">
        <f>SUM($W9,$Y9,$AA9,$AC9,$AE9,$AG9)</f>
        <v>0</v>
      </c>
      <c r="BS9" s="206">
        <f>SUM($X9,$Z9,$AB9,$AD9,$AF9,$AH9)</f>
        <v>0</v>
      </c>
      <c r="BT9" s="212">
        <f>SUM(BR9,BS9)</f>
        <v>0</v>
      </c>
      <c r="BU9" s="211">
        <f>SUM($Y9,$AA9,$AC9,$AE9,$AG9)</f>
        <v>0</v>
      </c>
      <c r="BV9" s="206">
        <f>SUM($Z9,$AB9,$AD9,$AF9,$AH9)</f>
        <v>0</v>
      </c>
      <c r="BW9" s="212">
        <f>SUM(BU9,BV9)</f>
        <v>0</v>
      </c>
      <c r="BX9" s="211">
        <f>SUM($AA9,$AC9,$AE9,$AG9)</f>
        <v>0</v>
      </c>
      <c r="BY9" s="206">
        <f>SUM($AB9,$AD9,$AF9,$AH9)</f>
        <v>0</v>
      </c>
      <c r="BZ9" s="212">
        <f>SUM(BX9,BY9)</f>
        <v>0</v>
      </c>
      <c r="CA9" s="211">
        <f>SUM($AC9,$AE9,$AG9)</f>
        <v>0</v>
      </c>
      <c r="CB9" s="206">
        <f>SUM($AD9,$AF9,$AH9)</f>
        <v>0</v>
      </c>
      <c r="CC9" s="212">
        <f>SUM(CA9,CB9)</f>
        <v>0</v>
      </c>
      <c r="CD9" s="211">
        <f>SUM($AE9,$AG9)</f>
        <v>0</v>
      </c>
      <c r="CE9" s="206">
        <f>SUM($AF9,$AH9)</f>
        <v>0</v>
      </c>
      <c r="CF9" s="212">
        <f>SUM(CD9,CE9)</f>
        <v>0</v>
      </c>
      <c r="CG9" s="211">
        <f>SUM($AE9,$AG9)</f>
        <v>0</v>
      </c>
      <c r="CH9" s="206">
        <f>SUM($AF9,$AH9)</f>
        <v>0</v>
      </c>
      <c r="CI9" s="212">
        <f>SUM(CG9,CH9)</f>
        <v>0</v>
      </c>
      <c r="CJ9" s="211">
        <f>SUM($AE9,$AG9)</f>
        <v>0</v>
      </c>
      <c r="CK9" s="206">
        <f>SUM($AF9,$AH9)</f>
        <v>0</v>
      </c>
      <c r="CL9" s="212">
        <f>SUM(CJ9,CK9)</f>
        <v>0</v>
      </c>
      <c r="CM9" s="211">
        <f>SUM($AE9,$AG9)</f>
        <v>0</v>
      </c>
      <c r="CN9" s="206">
        <f>SUM($AF9,$AH9)</f>
        <v>0</v>
      </c>
      <c r="CO9" s="212">
        <f>SUM(CM9,CN9)</f>
        <v>0</v>
      </c>
      <c r="CP9" s="211">
        <f>SUM($AE9,$AG9)</f>
        <v>0</v>
      </c>
      <c r="CQ9" s="206">
        <f>SUM($AF9,$AH9)</f>
        <v>0</v>
      </c>
      <c r="CR9" s="212">
        <f>SUM(CP9,CQ9)</f>
        <v>0</v>
      </c>
      <c r="CS9" s="211">
        <f>SUM($AE9,$AG9)</f>
        <v>0</v>
      </c>
      <c r="CT9" s="206">
        <f>SUM($AF9,$AH9)</f>
        <v>0</v>
      </c>
      <c r="CU9" s="212">
        <f>SUM(CS9,CT9)</f>
        <v>0</v>
      </c>
      <c r="CV9" s="211">
        <f>SUM($AE9,$AG9)</f>
        <v>0</v>
      </c>
      <c r="CW9" s="206">
        <f>SUM($AF9,$AH9)</f>
        <v>0</v>
      </c>
      <c r="CX9" s="212">
        <f>SUM(CV9,CW9)</f>
        <v>0</v>
      </c>
    </row>
    <row r="10" spans="1:102" ht="12.75">
      <c r="A10" s="205" t="s">
        <v>348</v>
      </c>
      <c r="B10" s="214"/>
      <c r="C10" s="206"/>
      <c r="D10" s="206"/>
      <c r="E10" s="784">
        <f>G10+I10+K10+M10+O10+Q10+S10+U10+W10+Y10+AA10+AC10+AE10+AG10+AI10+AK10+AM10+AO10+AQ10</f>
        <v>4200000</v>
      </c>
      <c r="F10" s="784">
        <f>H10+J10+L10+N10+P10+R10+T10+V10+X10+Z10+AB10+AD10+AF10+AH10+AJ10+AL10+AN10+AP10+AR10</f>
        <v>1815462</v>
      </c>
      <c r="G10" s="785"/>
      <c r="H10" s="785"/>
      <c r="I10" s="785"/>
      <c r="J10" s="786">
        <v>42268</v>
      </c>
      <c r="K10" s="785"/>
      <c r="L10" s="786">
        <v>288074</v>
      </c>
      <c r="M10" s="785">
        <v>324000</v>
      </c>
      <c r="N10" s="786">
        <v>212100</v>
      </c>
      <c r="O10" s="785">
        <v>324000</v>
      </c>
      <c r="P10" s="786">
        <v>195800</v>
      </c>
      <c r="Q10" s="785">
        <v>324000</v>
      </c>
      <c r="R10" s="786">
        <v>179500</v>
      </c>
      <c r="S10" s="785">
        <v>324000</v>
      </c>
      <c r="T10" s="786">
        <v>163200</v>
      </c>
      <c r="U10" s="785">
        <v>324000</v>
      </c>
      <c r="V10" s="786">
        <v>146900</v>
      </c>
      <c r="W10" s="785">
        <v>324000</v>
      </c>
      <c r="X10" s="786">
        <v>130600</v>
      </c>
      <c r="Y10" s="785">
        <v>324000</v>
      </c>
      <c r="Z10" s="786">
        <v>114200</v>
      </c>
      <c r="AA10" s="785">
        <v>324000</v>
      </c>
      <c r="AB10" s="786">
        <v>97900</v>
      </c>
      <c r="AC10" s="785">
        <v>324000</v>
      </c>
      <c r="AD10" s="786">
        <v>81600</v>
      </c>
      <c r="AE10" s="785">
        <v>324000</v>
      </c>
      <c r="AF10" s="786">
        <v>65300</v>
      </c>
      <c r="AG10" s="785">
        <v>324000</v>
      </c>
      <c r="AH10" s="786">
        <v>49000</v>
      </c>
      <c r="AI10" s="785">
        <v>324000</v>
      </c>
      <c r="AJ10" s="786">
        <v>32700</v>
      </c>
      <c r="AK10" s="785">
        <v>312000</v>
      </c>
      <c r="AL10" s="786">
        <v>16320</v>
      </c>
      <c r="AM10" s="785"/>
      <c r="AN10" s="786"/>
      <c r="AO10" s="785"/>
      <c r="AP10" s="786"/>
      <c r="AQ10" s="785"/>
      <c r="AR10" s="786"/>
      <c r="AU10" s="205" t="str">
        <f t="shared" si="0"/>
        <v>kredyt jessica 2013</v>
      </c>
      <c r="AV10" s="206">
        <f t="shared" si="0"/>
        <v>0</v>
      </c>
      <c r="AW10" s="211">
        <v>0</v>
      </c>
      <c r="AX10" s="206">
        <v>0</v>
      </c>
      <c r="AY10" s="212">
        <f>SUM(AW10,AX10)</f>
        <v>0</v>
      </c>
      <c r="AZ10" s="211">
        <v>592000</v>
      </c>
      <c r="BA10" s="211">
        <f>SUM(J10,L10,N10,P10,R10,T10,V10,X10,Z10,AB10,AD10,AF10,AH10,AJ10,AL10)</f>
        <v>1815462</v>
      </c>
      <c r="BB10" s="212">
        <f>SUM(AZ10,BA10)</f>
        <v>2407462</v>
      </c>
      <c r="BC10" s="211">
        <v>4200000</v>
      </c>
      <c r="BD10" s="206">
        <f>SUM(L10,N10,P10,R10,T10,V10,X10,Z10,AB10,AD10,AF10,AH10,AJ10,AL10)</f>
        <v>1773194</v>
      </c>
      <c r="BE10" s="212">
        <f>SUM(BC10,BD10)</f>
        <v>5973194</v>
      </c>
      <c r="BF10" s="211">
        <f>SUM(O10,Q10,S10,U10,W10,Y10,AA10,AC10,AE10,AG10,AI10,AK10)</f>
        <v>3876000</v>
      </c>
      <c r="BG10" s="211">
        <f>SUM(N10,P10,R10,T10,V10,X10,Z10,AB10,AD10,AF10,AH10,AJ10,AL10)</f>
        <v>1485120</v>
      </c>
      <c r="BH10" s="212">
        <f>SUM(BF10,BG10)</f>
        <v>5361120</v>
      </c>
      <c r="BI10" s="211">
        <f>SUM(Q10,S10,U10,W10,Y10,AA10,AC10,AE10,AG10,AI10,AK10)</f>
        <v>3552000</v>
      </c>
      <c r="BJ10" s="206">
        <f>SUM(P10,R10,T10,V10,X10,Z10,AB10,AD10,AF10,AH10,AJ10,AL10)</f>
        <v>1273020</v>
      </c>
      <c r="BK10" s="212">
        <f>SUM(BI10,BJ10)</f>
        <v>4825020</v>
      </c>
      <c r="BL10" s="211">
        <f>SUM(S10,U10,W10,Y10,AA10,AC10,AE10,AG10,AI10,AK10)</f>
        <v>3228000</v>
      </c>
      <c r="BM10" s="206">
        <f>SUM(R10,T10,V10,X10,Z10,AB10,AD10,AF10,AH10,AJ10,AL10)</f>
        <v>1077220</v>
      </c>
      <c r="BN10" s="212">
        <f>SUM(BL10,BM10)</f>
        <v>4305220</v>
      </c>
      <c r="BO10" s="211">
        <f>SUM(U10,W10,Y10,AA10,AC10,AE10,AG10,AI10,AK10)</f>
        <v>2904000</v>
      </c>
      <c r="BP10" s="206">
        <f>SUM(T10,V10,X10,Z10,AB10,AD10,AF10,AH10,AJ10,AL10)</f>
        <v>897720</v>
      </c>
      <c r="BQ10" s="212">
        <f>SUM(BO10,BP10)</f>
        <v>3801720</v>
      </c>
      <c r="BR10" s="211">
        <f>SUM(W10,Y10,AA10,AC10,AE10,AG10,AI10,AK10)</f>
        <v>2580000</v>
      </c>
      <c r="BS10" s="206">
        <f>SUM(V10,X10,Z10,AB10,AD10,AF10,AH10,AJ10,AL10)</f>
        <v>734520</v>
      </c>
      <c r="BT10" s="212">
        <f>SUM(BR10,BS10)</f>
        <v>3314520</v>
      </c>
      <c r="BU10" s="211">
        <f>SUM(Y10,AA10,AC10,AE10,AG10,AI10,AK10)</f>
        <v>2256000</v>
      </c>
      <c r="BV10" s="209">
        <f>SUM(X10,Z10,AB10,AD10,AF10,AH10,AJ10,AL10)</f>
        <v>587620</v>
      </c>
      <c r="BW10" s="212">
        <f>SUM(BU10,BV10)</f>
        <v>2843620</v>
      </c>
      <c r="BX10" s="211">
        <f>SUM(AA10,AC10,AE10,AG10,AI10,AK10)</f>
        <v>1932000</v>
      </c>
      <c r="BY10" s="209">
        <f>SUM(Z10,AB10,AD10,AF10,AH10,AJ10,AL10)</f>
        <v>457020</v>
      </c>
      <c r="BZ10" s="212">
        <f>SUM(BX10,BY10)</f>
        <v>2389020</v>
      </c>
      <c r="CA10" s="211">
        <f>SUM(AC10,AE10,AG10,AI10,AK10)</f>
        <v>1608000</v>
      </c>
      <c r="CB10" s="209">
        <f>SUM(AB10,AD10,AF10,AH10,AJ10,AL10)</f>
        <v>342820</v>
      </c>
      <c r="CC10" s="212">
        <f>SUM(CA10,CB10)</f>
        <v>1950820</v>
      </c>
      <c r="CD10" s="211">
        <f>SUM(AE10,AG10,AI10,AK10)</f>
        <v>1284000</v>
      </c>
      <c r="CE10" s="209">
        <f>SUM(AD10,AF10,AH10,AJ10,AL10)</f>
        <v>244920</v>
      </c>
      <c r="CF10" s="212">
        <f>SUM(CD10,CE10)</f>
        <v>1528920</v>
      </c>
      <c r="CG10" s="211">
        <f>SUM(AG10,AI10,AK10)</f>
        <v>960000</v>
      </c>
      <c r="CH10" s="209">
        <f>SUM(AF10,AH10,AJ10,AL10)</f>
        <v>163320</v>
      </c>
      <c r="CI10" s="212">
        <f>SUM(CG10,CH10)</f>
        <v>1123320</v>
      </c>
      <c r="CJ10" s="211">
        <f>SUM(AI10,AK10)</f>
        <v>636000</v>
      </c>
      <c r="CK10" s="209">
        <f>SUM(AH10,AJ10,AL10)</f>
        <v>98020</v>
      </c>
      <c r="CL10" s="212">
        <f>SUM(CJ10,CK10)</f>
        <v>734020</v>
      </c>
      <c r="CM10" s="211">
        <f>SUM(AK10)</f>
        <v>312000</v>
      </c>
      <c r="CN10" s="209">
        <f>SUM(AJ10,AL10)</f>
        <v>49020</v>
      </c>
      <c r="CO10" s="212">
        <f>SUM(CM10,CN10)</f>
        <v>361020</v>
      </c>
      <c r="CP10" s="211">
        <v>0</v>
      </c>
      <c r="CQ10" s="209">
        <f>SUM(AL10)</f>
        <v>16320</v>
      </c>
      <c r="CR10" s="212">
        <f>SUM(CP10,CQ10)</f>
        <v>16320</v>
      </c>
      <c r="CS10" s="211">
        <v>0</v>
      </c>
      <c r="CT10" s="209">
        <f>SUM($AF10,$AH10)</f>
        <v>114300</v>
      </c>
      <c r="CU10" s="212">
        <f>SUM(CS10,CT10)</f>
        <v>114300</v>
      </c>
      <c r="CV10" s="211">
        <v>0</v>
      </c>
      <c r="CW10" s="209">
        <f>SUM($AF10,$AH10)</f>
        <v>114300</v>
      </c>
      <c r="CX10" s="212">
        <f>SUM(CV10,CW10)</f>
        <v>114300</v>
      </c>
    </row>
    <row r="11" spans="1:102" ht="12.75">
      <c r="A11" s="215" t="s">
        <v>262</v>
      </c>
      <c r="B11" s="216"/>
      <c r="C11" s="217">
        <f>SUM(C6:C10)</f>
        <v>0</v>
      </c>
      <c r="D11" s="217">
        <f t="shared" ref="D11" si="1">SUM(D6:D10)</f>
        <v>0</v>
      </c>
      <c r="E11" s="217">
        <f>SUM(E6:E9)</f>
        <v>0</v>
      </c>
      <c r="F11" s="217">
        <f>SUM(F6:F9)</f>
        <v>0</v>
      </c>
      <c r="G11" s="767">
        <f t="shared" ref="G11:AR11" si="2">SUM(G6:G9)</f>
        <v>0</v>
      </c>
      <c r="H11" s="767">
        <f t="shared" si="2"/>
        <v>0</v>
      </c>
      <c r="I11" s="767">
        <f t="shared" si="2"/>
        <v>0</v>
      </c>
      <c r="J11" s="767">
        <f>SUM(J10)</f>
        <v>42268</v>
      </c>
      <c r="K11" s="767">
        <f t="shared" si="2"/>
        <v>0</v>
      </c>
      <c r="L11" s="767">
        <f t="shared" ref="L11:AL11" si="3">SUM(L6:L10)</f>
        <v>288074</v>
      </c>
      <c r="M11" s="767">
        <f t="shared" si="3"/>
        <v>324000</v>
      </c>
      <c r="N11" s="767">
        <f t="shared" si="3"/>
        <v>212100</v>
      </c>
      <c r="O11" s="767">
        <f t="shared" si="3"/>
        <v>324000</v>
      </c>
      <c r="P11" s="767">
        <f t="shared" si="3"/>
        <v>195800</v>
      </c>
      <c r="Q11" s="767">
        <f t="shared" si="3"/>
        <v>324000</v>
      </c>
      <c r="R11" s="767">
        <f t="shared" si="3"/>
        <v>179500</v>
      </c>
      <c r="S11" s="767">
        <f t="shared" si="3"/>
        <v>324000</v>
      </c>
      <c r="T11" s="767">
        <f t="shared" si="3"/>
        <v>163200</v>
      </c>
      <c r="U11" s="767">
        <f t="shared" si="3"/>
        <v>324000</v>
      </c>
      <c r="V11" s="767">
        <f t="shared" si="3"/>
        <v>146900</v>
      </c>
      <c r="W11" s="767">
        <f t="shared" si="3"/>
        <v>324000</v>
      </c>
      <c r="X11" s="767">
        <f t="shared" si="3"/>
        <v>130600</v>
      </c>
      <c r="Y11" s="767">
        <f t="shared" si="3"/>
        <v>324000</v>
      </c>
      <c r="Z11" s="767">
        <f t="shared" si="3"/>
        <v>114200</v>
      </c>
      <c r="AA11" s="767">
        <f t="shared" si="3"/>
        <v>324000</v>
      </c>
      <c r="AB11" s="767">
        <f t="shared" si="3"/>
        <v>97900</v>
      </c>
      <c r="AC11" s="767">
        <f t="shared" si="3"/>
        <v>324000</v>
      </c>
      <c r="AD11" s="767">
        <f t="shared" si="3"/>
        <v>81600</v>
      </c>
      <c r="AE11" s="767">
        <f t="shared" si="3"/>
        <v>324000</v>
      </c>
      <c r="AF11" s="767">
        <f t="shared" si="3"/>
        <v>65300</v>
      </c>
      <c r="AG11" s="767">
        <f t="shared" si="3"/>
        <v>324000</v>
      </c>
      <c r="AH11" s="767">
        <f t="shared" si="3"/>
        <v>49000</v>
      </c>
      <c r="AI11" s="767">
        <f t="shared" si="3"/>
        <v>324000</v>
      </c>
      <c r="AJ11" s="767">
        <f t="shared" si="3"/>
        <v>32700</v>
      </c>
      <c r="AK11" s="767">
        <f t="shared" si="3"/>
        <v>312000</v>
      </c>
      <c r="AL11" s="767">
        <f t="shared" si="3"/>
        <v>16320</v>
      </c>
      <c r="AM11" s="767">
        <f t="shared" si="2"/>
        <v>0</v>
      </c>
      <c r="AN11" s="767">
        <f t="shared" si="2"/>
        <v>0</v>
      </c>
      <c r="AO11" s="767">
        <f t="shared" si="2"/>
        <v>0</v>
      </c>
      <c r="AP11" s="767">
        <f t="shared" si="2"/>
        <v>0</v>
      </c>
      <c r="AQ11" s="767">
        <f t="shared" si="2"/>
        <v>0</v>
      </c>
      <c r="AR11" s="767">
        <f t="shared" si="2"/>
        <v>0</v>
      </c>
      <c r="AU11" s="215" t="s">
        <v>262</v>
      </c>
      <c r="AV11" s="218">
        <f>SUM(AV6,AV7,AV9,AV10)</f>
        <v>0</v>
      </c>
      <c r="AW11" s="219">
        <f>SUM(AW6:AW10)</f>
        <v>0</v>
      </c>
      <c r="AX11" s="220">
        <f t="shared" ref="AX11:CF11" si="4">SUM(AX6:AX10)</f>
        <v>0</v>
      </c>
      <c r="AY11" s="221">
        <f t="shared" si="4"/>
        <v>0</v>
      </c>
      <c r="AZ11" s="219">
        <f t="shared" si="4"/>
        <v>592000</v>
      </c>
      <c r="BA11" s="219">
        <f t="shared" si="4"/>
        <v>1815462</v>
      </c>
      <c r="BB11" s="219">
        <f t="shared" si="4"/>
        <v>2407462</v>
      </c>
      <c r="BC11" s="219">
        <f t="shared" si="4"/>
        <v>4200000</v>
      </c>
      <c r="BD11" s="219">
        <f t="shared" si="4"/>
        <v>1773194</v>
      </c>
      <c r="BE11" s="219">
        <f t="shared" si="4"/>
        <v>5973194</v>
      </c>
      <c r="BF11" s="219">
        <f t="shared" si="4"/>
        <v>3876000</v>
      </c>
      <c r="BG11" s="219">
        <f t="shared" si="4"/>
        <v>1485120</v>
      </c>
      <c r="BH11" s="219">
        <f t="shared" si="4"/>
        <v>5361120</v>
      </c>
      <c r="BI11" s="219">
        <f t="shared" si="4"/>
        <v>3552000</v>
      </c>
      <c r="BJ11" s="219">
        <f t="shared" si="4"/>
        <v>1273020</v>
      </c>
      <c r="BK11" s="219">
        <f t="shared" si="4"/>
        <v>4825020</v>
      </c>
      <c r="BL11" s="219">
        <f t="shared" si="4"/>
        <v>3228000</v>
      </c>
      <c r="BM11" s="219">
        <f t="shared" si="4"/>
        <v>1077220</v>
      </c>
      <c r="BN11" s="219">
        <f t="shared" si="4"/>
        <v>4305220</v>
      </c>
      <c r="BO11" s="219">
        <f t="shared" si="4"/>
        <v>2904000</v>
      </c>
      <c r="BP11" s="219">
        <f t="shared" si="4"/>
        <v>897720</v>
      </c>
      <c r="BQ11" s="219">
        <f t="shared" si="4"/>
        <v>3801720</v>
      </c>
      <c r="BR11" s="219">
        <f t="shared" si="4"/>
        <v>2580000</v>
      </c>
      <c r="BS11" s="219">
        <f t="shared" si="4"/>
        <v>734520</v>
      </c>
      <c r="BT11" s="219">
        <f t="shared" si="4"/>
        <v>3314520</v>
      </c>
      <c r="BU11" s="219">
        <f t="shared" si="4"/>
        <v>2256000</v>
      </c>
      <c r="BV11" s="219">
        <f t="shared" si="4"/>
        <v>587620</v>
      </c>
      <c r="BW11" s="219">
        <f t="shared" si="4"/>
        <v>2843620</v>
      </c>
      <c r="BX11" s="219">
        <f t="shared" si="4"/>
        <v>1932000</v>
      </c>
      <c r="BY11" s="219">
        <f t="shared" si="4"/>
        <v>457020</v>
      </c>
      <c r="BZ11" s="219">
        <f t="shared" si="4"/>
        <v>2389020</v>
      </c>
      <c r="CA11" s="219">
        <f t="shared" si="4"/>
        <v>1608000</v>
      </c>
      <c r="CB11" s="219">
        <f t="shared" si="4"/>
        <v>342820</v>
      </c>
      <c r="CC11" s="219">
        <f t="shared" si="4"/>
        <v>1950820</v>
      </c>
      <c r="CD11" s="219">
        <f t="shared" si="4"/>
        <v>1284000</v>
      </c>
      <c r="CE11" s="219">
        <f t="shared" si="4"/>
        <v>244920</v>
      </c>
      <c r="CF11" s="219">
        <f t="shared" si="4"/>
        <v>1528920</v>
      </c>
      <c r="CG11" s="219">
        <f t="shared" ref="CG11:CI11" si="5">SUM(CG6:CG10)</f>
        <v>960000</v>
      </c>
      <c r="CH11" s="219">
        <f t="shared" si="5"/>
        <v>163320</v>
      </c>
      <c r="CI11" s="219">
        <f t="shared" si="5"/>
        <v>1123320</v>
      </c>
      <c r="CJ11" s="219">
        <f t="shared" ref="CJ11:CX11" si="6">SUM(CJ6:CJ10)</f>
        <v>636000</v>
      </c>
      <c r="CK11" s="219">
        <f t="shared" si="6"/>
        <v>98020</v>
      </c>
      <c r="CL11" s="219">
        <f t="shared" si="6"/>
        <v>734020</v>
      </c>
      <c r="CM11" s="219">
        <f t="shared" si="6"/>
        <v>312000</v>
      </c>
      <c r="CN11" s="219">
        <f t="shared" si="6"/>
        <v>49020</v>
      </c>
      <c r="CO11" s="219">
        <f t="shared" si="6"/>
        <v>361020</v>
      </c>
      <c r="CP11" s="219">
        <f t="shared" si="6"/>
        <v>0</v>
      </c>
      <c r="CQ11" s="219">
        <f t="shared" si="6"/>
        <v>16320</v>
      </c>
      <c r="CR11" s="219">
        <f t="shared" si="6"/>
        <v>16320</v>
      </c>
      <c r="CS11" s="219">
        <f t="shared" si="6"/>
        <v>0</v>
      </c>
      <c r="CT11" s="219">
        <f t="shared" si="6"/>
        <v>114300</v>
      </c>
      <c r="CU11" s="219">
        <f t="shared" si="6"/>
        <v>114300</v>
      </c>
      <c r="CV11" s="219">
        <f t="shared" si="6"/>
        <v>0</v>
      </c>
      <c r="CW11" s="219">
        <f t="shared" si="6"/>
        <v>114300</v>
      </c>
      <c r="CX11" s="219">
        <f t="shared" si="6"/>
        <v>114300</v>
      </c>
    </row>
    <row r="12" spans="1:102" ht="14.25" thickBot="1">
      <c r="A12" s="222"/>
      <c r="B12" s="223" t="s">
        <v>263</v>
      </c>
      <c r="C12" s="1660">
        <f>SUM(C11,D11)</f>
        <v>0</v>
      </c>
      <c r="D12" s="1660"/>
      <c r="E12" s="1660">
        <f>SUM(E11,F11)</f>
        <v>0</v>
      </c>
      <c r="F12" s="1660"/>
      <c r="G12" s="1660">
        <f>SUM(G11,H11)</f>
        <v>0</v>
      </c>
      <c r="H12" s="1660"/>
      <c r="I12" s="1660">
        <f>SUM(I11,J11)</f>
        <v>42268</v>
      </c>
      <c r="J12" s="1660"/>
      <c r="K12" s="1660">
        <f>SUM(K11,L11)</f>
        <v>288074</v>
      </c>
      <c r="L12" s="1660"/>
      <c r="M12" s="1660">
        <f>SUM(M11,N11)</f>
        <v>536100</v>
      </c>
      <c r="N12" s="1660"/>
      <c r="O12" s="1660">
        <f>SUM(O11,P11)</f>
        <v>519800</v>
      </c>
      <c r="P12" s="1661"/>
      <c r="Q12" s="1660">
        <f>SUM(Q11,R11)</f>
        <v>503500</v>
      </c>
      <c r="R12" s="1660"/>
      <c r="S12" s="1660">
        <f>SUM(S11,T11)</f>
        <v>487200</v>
      </c>
      <c r="T12" s="1660"/>
      <c r="U12" s="1660">
        <f>SUM(U11,V11)</f>
        <v>470900</v>
      </c>
      <c r="V12" s="1660"/>
      <c r="W12" s="1660">
        <f>SUM(W11,X11)</f>
        <v>454600</v>
      </c>
      <c r="X12" s="1660"/>
      <c r="Y12" s="1660">
        <f>SUM(Y11,Z11)</f>
        <v>438200</v>
      </c>
      <c r="Z12" s="1660"/>
      <c r="AA12" s="1660">
        <f>SUM(AA11,AB11)</f>
        <v>421900</v>
      </c>
      <c r="AB12" s="1661"/>
      <c r="AC12" s="1660">
        <f>SUM(AC11,AD11)</f>
        <v>405600</v>
      </c>
      <c r="AD12" s="1660"/>
      <c r="AE12" s="1662">
        <f>SUM(AE11,AF11)</f>
        <v>389300</v>
      </c>
      <c r="AF12" s="1661"/>
      <c r="AG12" s="1660">
        <f>SUM(AG11,AH11)</f>
        <v>373000</v>
      </c>
      <c r="AH12" s="1677"/>
      <c r="AI12" s="1660">
        <f>SUM(AI11,AJ11)</f>
        <v>356700</v>
      </c>
      <c r="AJ12" s="1677"/>
      <c r="AK12" s="1660">
        <f>SUM(AK11,AL11)</f>
        <v>328320</v>
      </c>
      <c r="AL12" s="1677"/>
      <c r="AM12" s="1660">
        <f>SUM(AM11,AN11)</f>
        <v>0</v>
      </c>
      <c r="AN12" s="1677"/>
      <c r="AO12" s="1660">
        <f>SUM(AO11,AP11)</f>
        <v>0</v>
      </c>
      <c r="AP12" s="1677"/>
      <c r="AQ12" s="1660">
        <f>SUM(AQ11,AR11)</f>
        <v>0</v>
      </c>
      <c r="AR12" s="1677"/>
      <c r="AU12" s="224"/>
      <c r="AV12" s="225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</row>
    <row r="13" spans="1:102" ht="12.75">
      <c r="A13" s="222" t="s">
        <v>264</v>
      </c>
      <c r="B13" s="227" t="s">
        <v>265</v>
      </c>
      <c r="C13" s="227" t="s">
        <v>258</v>
      </c>
      <c r="D13" s="227" t="s">
        <v>259</v>
      </c>
      <c r="E13" s="227" t="s">
        <v>258</v>
      </c>
      <c r="F13" s="227" t="s">
        <v>259</v>
      </c>
      <c r="G13" s="227" t="s">
        <v>258</v>
      </c>
      <c r="H13" s="227" t="s">
        <v>259</v>
      </c>
      <c r="I13" s="227" t="s">
        <v>258</v>
      </c>
      <c r="J13" s="227" t="s">
        <v>259</v>
      </c>
      <c r="K13" s="227" t="s">
        <v>258</v>
      </c>
      <c r="L13" s="227" t="s">
        <v>259</v>
      </c>
      <c r="M13" s="227" t="s">
        <v>258</v>
      </c>
      <c r="N13" s="227" t="s">
        <v>259</v>
      </c>
      <c r="O13" s="227" t="s">
        <v>258</v>
      </c>
      <c r="P13" s="228" t="s">
        <v>259</v>
      </c>
      <c r="Q13" s="227" t="s">
        <v>258</v>
      </c>
      <c r="R13" s="227" t="s">
        <v>259</v>
      </c>
      <c r="S13" s="227" t="s">
        <v>258</v>
      </c>
      <c r="T13" s="227" t="s">
        <v>259</v>
      </c>
      <c r="U13" s="227" t="s">
        <v>258</v>
      </c>
      <c r="V13" s="227" t="s">
        <v>259</v>
      </c>
      <c r="W13" s="227" t="s">
        <v>258</v>
      </c>
      <c r="X13" s="227" t="s">
        <v>259</v>
      </c>
      <c r="Y13" s="227" t="s">
        <v>258</v>
      </c>
      <c r="Z13" s="227" t="s">
        <v>259</v>
      </c>
      <c r="AA13" s="227" t="s">
        <v>258</v>
      </c>
      <c r="AB13" s="228" t="s">
        <v>259</v>
      </c>
      <c r="AC13" s="227" t="s">
        <v>258</v>
      </c>
      <c r="AD13" s="227" t="s">
        <v>259</v>
      </c>
      <c r="AE13" s="229" t="s">
        <v>258</v>
      </c>
      <c r="AF13" s="228" t="s">
        <v>259</v>
      </c>
      <c r="AG13" s="227" t="s">
        <v>258</v>
      </c>
      <c r="AH13" s="230" t="s">
        <v>259</v>
      </c>
      <c r="AI13" s="227" t="s">
        <v>258</v>
      </c>
      <c r="AJ13" s="230" t="s">
        <v>259</v>
      </c>
      <c r="AK13" s="227" t="s">
        <v>258</v>
      </c>
      <c r="AL13" s="230" t="s">
        <v>259</v>
      </c>
      <c r="AM13" s="227" t="s">
        <v>258</v>
      </c>
      <c r="AN13" s="230" t="s">
        <v>259</v>
      </c>
      <c r="AO13" s="227" t="s">
        <v>258</v>
      </c>
      <c r="AP13" s="230" t="s">
        <v>259</v>
      </c>
      <c r="AQ13" s="227" t="s">
        <v>258</v>
      </c>
      <c r="AR13" s="230" t="s">
        <v>259</v>
      </c>
      <c r="AU13" s="231" t="s">
        <v>264</v>
      </c>
      <c r="AV13" s="232" t="s">
        <v>265</v>
      </c>
      <c r="AW13" s="233" t="s">
        <v>258</v>
      </c>
      <c r="AX13" s="234" t="s">
        <v>259</v>
      </c>
      <c r="AY13" s="235" t="s">
        <v>260</v>
      </c>
      <c r="AZ13" s="233" t="s">
        <v>258</v>
      </c>
      <c r="BA13" s="234" t="s">
        <v>259</v>
      </c>
      <c r="BB13" s="235" t="s">
        <v>260</v>
      </c>
      <c r="BC13" s="233" t="s">
        <v>258</v>
      </c>
      <c r="BD13" s="234" t="s">
        <v>259</v>
      </c>
      <c r="BE13" s="235" t="s">
        <v>260</v>
      </c>
      <c r="BF13" s="233" t="s">
        <v>258</v>
      </c>
      <c r="BG13" s="234" t="s">
        <v>259</v>
      </c>
      <c r="BH13" s="235" t="s">
        <v>260</v>
      </c>
      <c r="BI13" s="233" t="s">
        <v>258</v>
      </c>
      <c r="BJ13" s="234" t="s">
        <v>259</v>
      </c>
      <c r="BK13" s="235" t="s">
        <v>260</v>
      </c>
      <c r="BL13" s="233" t="s">
        <v>258</v>
      </c>
      <c r="BM13" s="234" t="s">
        <v>259</v>
      </c>
      <c r="BN13" s="235" t="s">
        <v>260</v>
      </c>
      <c r="BO13" s="233" t="s">
        <v>258</v>
      </c>
      <c r="BP13" s="234" t="s">
        <v>259</v>
      </c>
      <c r="BQ13" s="235" t="s">
        <v>260</v>
      </c>
      <c r="BR13" s="233" t="s">
        <v>258</v>
      </c>
      <c r="BS13" s="234" t="s">
        <v>259</v>
      </c>
      <c r="BT13" s="235" t="s">
        <v>260</v>
      </c>
      <c r="BU13" s="233" t="s">
        <v>258</v>
      </c>
      <c r="BV13" s="234" t="s">
        <v>259</v>
      </c>
      <c r="BW13" s="235" t="s">
        <v>260</v>
      </c>
      <c r="BX13" s="233" t="s">
        <v>258</v>
      </c>
      <c r="BY13" s="234" t="s">
        <v>259</v>
      </c>
      <c r="BZ13" s="235" t="s">
        <v>260</v>
      </c>
      <c r="CA13" s="233" t="s">
        <v>258</v>
      </c>
      <c r="CB13" s="234" t="s">
        <v>259</v>
      </c>
      <c r="CC13" s="235" t="s">
        <v>260</v>
      </c>
      <c r="CD13" s="233" t="s">
        <v>258</v>
      </c>
      <c r="CE13" s="234" t="s">
        <v>259</v>
      </c>
      <c r="CF13" s="235" t="s">
        <v>260</v>
      </c>
      <c r="CG13" s="233" t="s">
        <v>258</v>
      </c>
      <c r="CH13" s="234" t="s">
        <v>259</v>
      </c>
      <c r="CI13" s="235" t="s">
        <v>260</v>
      </c>
      <c r="CJ13" s="233" t="s">
        <v>258</v>
      </c>
      <c r="CK13" s="234" t="s">
        <v>259</v>
      </c>
      <c r="CL13" s="235" t="s">
        <v>260</v>
      </c>
      <c r="CM13" s="233" t="s">
        <v>258</v>
      </c>
      <c r="CN13" s="234" t="s">
        <v>259</v>
      </c>
      <c r="CO13" s="235" t="s">
        <v>260</v>
      </c>
      <c r="CP13" s="233" t="s">
        <v>258</v>
      </c>
      <c r="CQ13" s="234" t="s">
        <v>259</v>
      </c>
      <c r="CR13" s="235" t="s">
        <v>260</v>
      </c>
      <c r="CS13" s="233" t="s">
        <v>258</v>
      </c>
      <c r="CT13" s="234" t="s">
        <v>259</v>
      </c>
      <c r="CU13" s="235" t="s">
        <v>260</v>
      </c>
      <c r="CV13" s="233" t="s">
        <v>258</v>
      </c>
      <c r="CW13" s="234" t="s">
        <v>259</v>
      </c>
      <c r="CX13" s="235" t="s">
        <v>260</v>
      </c>
    </row>
    <row r="14" spans="1:102" ht="13.5">
      <c r="A14" s="1183" t="s">
        <v>191</v>
      </c>
      <c r="B14" s="1184">
        <v>518029</v>
      </c>
      <c r="C14" s="1185">
        <v>57559</v>
      </c>
      <c r="D14" s="1185">
        <v>2862.48</v>
      </c>
      <c r="E14" s="1185">
        <f t="shared" ref="E14:E23" si="7">I14+K14+M14+O14+Q14+S14+U14+W14+Y14+AA14+AC14+AE14+AG14</f>
        <v>57557</v>
      </c>
      <c r="F14" s="1185">
        <f>H14+J14+L14+N14+P14+R14</f>
        <v>1733.42</v>
      </c>
      <c r="G14" s="1185">
        <v>57559</v>
      </c>
      <c r="H14" s="1186">
        <v>1266.73</v>
      </c>
      <c r="I14" s="1185">
        <v>57557</v>
      </c>
      <c r="J14" s="1185">
        <v>466.69</v>
      </c>
      <c r="K14" s="238"/>
      <c r="L14" s="238"/>
      <c r="M14" s="239"/>
      <c r="N14" s="239"/>
      <c r="O14" s="238"/>
      <c r="P14" s="238"/>
      <c r="Q14" s="238"/>
      <c r="R14" s="238"/>
      <c r="S14" s="238"/>
      <c r="T14" s="239"/>
      <c r="U14" s="238"/>
      <c r="V14" s="239"/>
      <c r="W14" s="238"/>
      <c r="X14" s="238"/>
      <c r="Y14" s="240"/>
      <c r="Z14" s="239"/>
      <c r="AA14" s="238"/>
      <c r="AB14" s="241"/>
      <c r="AC14" s="238"/>
      <c r="AD14" s="241"/>
      <c r="AE14" s="238"/>
      <c r="AF14" s="241"/>
      <c r="AG14" s="238"/>
      <c r="AH14" s="241"/>
      <c r="AI14" s="238"/>
      <c r="AJ14" s="241"/>
      <c r="AK14" s="238"/>
      <c r="AL14" s="241"/>
      <c r="AM14" s="238"/>
      <c r="AN14" s="241"/>
      <c r="AO14" s="238"/>
      <c r="AP14" s="241"/>
      <c r="AQ14" s="238"/>
      <c r="AR14" s="241"/>
      <c r="AU14" s="242" t="str">
        <f t="shared" ref="AU14:AV28" si="8">A14</f>
        <v>WFOŚiGW 19/2004/76/OA/no/P</v>
      </c>
      <c r="AV14" s="243">
        <f t="shared" si="8"/>
        <v>518029</v>
      </c>
      <c r="AW14" s="244">
        <f t="shared" ref="AW14:AW24" si="9">SUM($I14,$K14,$M14,$O14,$Q14,$S14,$U14,$W14,$Y14,$AA14,$AC14,$AE14,$AG14)</f>
        <v>57557</v>
      </c>
      <c r="AX14" s="243">
        <f t="shared" ref="AX14:AX24" si="10">SUM($J14,$L14,$N14,$P14,$R14,$T14,$V14,$X14,$Z14,$AB14,$AD14,$AF14,$AH14)</f>
        <v>466.69</v>
      </c>
      <c r="AY14" s="245">
        <f t="shared" ref="AY14:AY24" si="11">SUM(AW14,AX14)</f>
        <v>58023.69</v>
      </c>
      <c r="AZ14" s="244">
        <f t="shared" ref="AZ14:AZ27" si="12">SUM($K14,$M14,$O14,$Q14,$S14,$U14,$W14,$Y14,$AA14,$AC14,$AE14,$AG14)</f>
        <v>0</v>
      </c>
      <c r="BA14" s="243">
        <f t="shared" ref="BA14:BA27" si="13">SUM($L14,$N14,$P14,$R14,$T14,$V14,$X14,$Z14,$AB14,$AD14,$AF14,$AH14)</f>
        <v>0</v>
      </c>
      <c r="BB14" s="245">
        <f t="shared" ref="BB14:BB27" si="14">SUM(AZ14,BA14)</f>
        <v>0</v>
      </c>
      <c r="BC14" s="244">
        <f t="shared" ref="BC14:BC28" si="15">SUM($M14,$O14,$Q14,$S14,$U14,$W14,$Y14,$AA14,$AC14,$AE14,$AG14)</f>
        <v>0</v>
      </c>
      <c r="BD14" s="243">
        <f t="shared" ref="BD14:BD28" si="16">SUM($N14,$P14,$R14,$T14,$V14,$X14,$Z14,$AB14,$AD14,$AF14,$AH14)</f>
        <v>0</v>
      </c>
      <c r="BE14" s="245">
        <f t="shared" ref="BE14:BE27" si="17">SUM(BC14,BD14)</f>
        <v>0</v>
      </c>
      <c r="BF14" s="244">
        <f t="shared" ref="BF14:BF29" si="18">SUM($O14,$Q14,$S14,$U14,$W14,$Y14,$AA14,$AC14,$AE14,$AG14)</f>
        <v>0</v>
      </c>
      <c r="BG14" s="243">
        <f t="shared" ref="BG14:BG29" si="19">SUM($P14,$R14,$T14,$V14,$X14,$Z14,$AB14,$AD14,$AF14,$AH14)</f>
        <v>0</v>
      </c>
      <c r="BH14" s="245">
        <f t="shared" ref="BH14:BH27" si="20">SUM(BF14,BG14)</f>
        <v>0</v>
      </c>
      <c r="BI14" s="244">
        <f t="shared" ref="BI14:BI29" si="21">SUM($Q14,$S14,$U14,$W14,$Y14,$AA14,$AC14,$AE14,$AG14)</f>
        <v>0</v>
      </c>
      <c r="BJ14" s="243">
        <f t="shared" ref="BJ14:BJ29" si="22">SUM($R14,$T14,$V14,$X14,$Z14,$AB14,$AD14,$AF14,$AH14)</f>
        <v>0</v>
      </c>
      <c r="BK14" s="245">
        <f t="shared" ref="BK14:BK27" si="23">SUM(BI14,BJ14)</f>
        <v>0</v>
      </c>
      <c r="BL14" s="244">
        <f t="shared" ref="BL14:BL29" si="24">SUM($S14,$U14,$W14,$Y14,$AA14,$AC14,$AE14,$AG14)</f>
        <v>0</v>
      </c>
      <c r="BM14" s="243">
        <f t="shared" ref="BM14:BM29" si="25">SUM($T14,$V14,$X14,$Z14,$AB14,$AD14,$AF14,$AH14)</f>
        <v>0</v>
      </c>
      <c r="BN14" s="245">
        <f t="shared" ref="BN14:BN27" si="26">SUM(BL14,BM14)</f>
        <v>0</v>
      </c>
      <c r="BO14" s="244">
        <f t="shared" ref="BO14:BO29" si="27">SUM($U14,$W14,$Y14,$AA14,$AC14,$AE14,$AG14)</f>
        <v>0</v>
      </c>
      <c r="BP14" s="243">
        <f t="shared" ref="BP14:BP29" si="28">SUM($V14,$X14,$Z14,$AB14,$AD14,$AF14,$AH14)</f>
        <v>0</v>
      </c>
      <c r="BQ14" s="245">
        <f t="shared" ref="BQ14:BQ27" si="29">SUM(BO14,BP14)</f>
        <v>0</v>
      </c>
      <c r="BR14" s="244">
        <f t="shared" ref="BR14:BR29" si="30">SUM($W14,$Y14,$AA14,$AC14,$AE14,$AG14)</f>
        <v>0</v>
      </c>
      <c r="BS14" s="243">
        <f t="shared" ref="BS14:BS29" si="31">SUM($X14,$Z14,$AB14,$AD14,$AF14,$AH14)</f>
        <v>0</v>
      </c>
      <c r="BT14" s="245">
        <f t="shared" ref="BT14:BT27" si="32">SUM(BR14,BS14)</f>
        <v>0</v>
      </c>
      <c r="BU14" s="244">
        <f t="shared" ref="BU14:BU29" si="33">SUM($Y14,$AA14,$AC14,$AE14,$AG14)</f>
        <v>0</v>
      </c>
      <c r="BV14" s="243">
        <f t="shared" ref="BV14:BV29" si="34">SUM($Z14,$AB14,$AD14,$AF14,$AH14)</f>
        <v>0</v>
      </c>
      <c r="BW14" s="245">
        <f t="shared" ref="BW14:BW27" si="35">SUM(BU14,BV14)</f>
        <v>0</v>
      </c>
      <c r="BX14" s="244">
        <f t="shared" ref="BX14:BX29" si="36">SUM($AA14,$AC14,$AE14,$AG14)</f>
        <v>0</v>
      </c>
      <c r="BY14" s="243">
        <f t="shared" ref="BY14:BY29" si="37">SUM($AB14,$AD14,$AF14,$AH14)</f>
        <v>0</v>
      </c>
      <c r="BZ14" s="245">
        <f t="shared" ref="BZ14:BZ27" si="38">SUM(BX14,BY14)</f>
        <v>0</v>
      </c>
      <c r="CA14" s="243">
        <f t="shared" ref="CA14:CA29" si="39">SUM($AC14,$AE14,$AG14)</f>
        <v>0</v>
      </c>
      <c r="CB14" s="243">
        <f t="shared" ref="CB14:CB29" si="40">SUM($AD14,$AF14,$AH14)</f>
        <v>0</v>
      </c>
      <c r="CC14" s="245">
        <f t="shared" ref="CC14:CC27" si="41">SUM(CA14,CB14)</f>
        <v>0</v>
      </c>
      <c r="CD14" s="243">
        <f t="shared" ref="CD14:CD29" si="42">SUM($AE14,$AG14)</f>
        <v>0</v>
      </c>
      <c r="CE14" s="243">
        <f t="shared" ref="CE14:CE29" si="43">SUM($AF14,$AH14)</f>
        <v>0</v>
      </c>
      <c r="CF14" s="245">
        <f t="shared" ref="CF14:CF26" si="44">SUM(CD14,CE14)</f>
        <v>0</v>
      </c>
      <c r="CG14" s="243">
        <f t="shared" ref="CG14:CG26" si="45">SUM($AE14,$AG14)</f>
        <v>0</v>
      </c>
      <c r="CH14" s="243">
        <f t="shared" ref="CH14:CH26" si="46">SUM($AF14,$AH14)</f>
        <v>0</v>
      </c>
      <c r="CI14" s="245">
        <f t="shared" ref="CI14:CI28" si="47">SUM(CG14,CH14)</f>
        <v>0</v>
      </c>
      <c r="CJ14" s="243">
        <f t="shared" ref="CJ14:CJ26" si="48">SUM($AE14,$AG14)</f>
        <v>0</v>
      </c>
      <c r="CK14" s="243">
        <f t="shared" ref="CK14:CK26" si="49">SUM($AF14,$AH14)</f>
        <v>0</v>
      </c>
      <c r="CL14" s="245">
        <f t="shared" ref="CL14:CL28" si="50">SUM(CJ14,CK14)</f>
        <v>0</v>
      </c>
      <c r="CM14" s="243">
        <f t="shared" ref="CM14:CM26" si="51">SUM($AE14,$AG14)</f>
        <v>0</v>
      </c>
      <c r="CN14" s="243">
        <f t="shared" ref="CN14:CN26" si="52">SUM($AF14,$AH14)</f>
        <v>0</v>
      </c>
      <c r="CO14" s="245">
        <f t="shared" ref="CO14:CO28" si="53">SUM(CM14,CN14)</f>
        <v>0</v>
      </c>
      <c r="CP14" s="243">
        <f t="shared" ref="CP14:CP26" si="54">SUM($AE14,$AG14)</f>
        <v>0</v>
      </c>
      <c r="CQ14" s="243">
        <f t="shared" ref="CQ14:CQ26" si="55">SUM($AF14,$AH14)</f>
        <v>0</v>
      </c>
      <c r="CR14" s="245">
        <f t="shared" ref="CR14:CR28" si="56">SUM(CP14,CQ14)</f>
        <v>0</v>
      </c>
      <c r="CS14" s="243">
        <f t="shared" ref="CS14:CS26" si="57">SUM($AE14,$AG14)</f>
        <v>0</v>
      </c>
      <c r="CT14" s="243">
        <f t="shared" ref="CT14:CT26" si="58">SUM($AF14,$AH14)</f>
        <v>0</v>
      </c>
      <c r="CU14" s="245">
        <f t="shared" ref="CU14:CU28" si="59">SUM(CS14,CT14)</f>
        <v>0</v>
      </c>
      <c r="CV14" s="243">
        <f t="shared" ref="CV14:CV26" si="60">SUM($AE14,$AG14)</f>
        <v>0</v>
      </c>
      <c r="CW14" s="243">
        <f t="shared" ref="CW14:CW26" si="61">SUM($AF14,$AH14)</f>
        <v>0</v>
      </c>
      <c r="CX14" s="245">
        <f t="shared" ref="CX14:CX28" si="62">SUM(CV14,CW14)</f>
        <v>0</v>
      </c>
    </row>
    <row r="15" spans="1:102" ht="13.5">
      <c r="A15" s="236" t="s">
        <v>192</v>
      </c>
      <c r="B15" s="237">
        <v>1498996</v>
      </c>
      <c r="C15" s="238">
        <v>171911</v>
      </c>
      <c r="D15" s="238">
        <v>33338.980000000003</v>
      </c>
      <c r="E15" s="238">
        <f t="shared" si="7"/>
        <v>599536</v>
      </c>
      <c r="F15" s="238">
        <f t="shared" ref="F15:F29" si="63">H15+J15+L15+N15+P15+R15+T15+V15+X15+Z15+AB15+AD15+AF15+AH15</f>
        <v>50293.36</v>
      </c>
      <c r="G15" s="238">
        <v>199880</v>
      </c>
      <c r="H15" s="238">
        <v>21567.29</v>
      </c>
      <c r="I15" s="238">
        <v>199880</v>
      </c>
      <c r="J15" s="239">
        <v>15570.89</v>
      </c>
      <c r="K15" s="238">
        <v>199880</v>
      </c>
      <c r="L15" s="238">
        <v>9577</v>
      </c>
      <c r="M15" s="238">
        <v>199776</v>
      </c>
      <c r="N15" s="238">
        <v>3578.18</v>
      </c>
      <c r="O15" s="238"/>
      <c r="P15" s="238"/>
      <c r="Q15" s="238"/>
      <c r="R15" s="238"/>
      <c r="S15" s="238"/>
      <c r="T15" s="239"/>
      <c r="U15" s="238"/>
      <c r="V15" s="239"/>
      <c r="W15" s="238"/>
      <c r="X15" s="238"/>
      <c r="Y15" s="240"/>
      <c r="Z15" s="239"/>
      <c r="AA15" s="238"/>
      <c r="AB15" s="241"/>
      <c r="AC15" s="238"/>
      <c r="AD15" s="241"/>
      <c r="AE15" s="238"/>
      <c r="AF15" s="241"/>
      <c r="AG15" s="238"/>
      <c r="AH15" s="241"/>
      <c r="AI15" s="238"/>
      <c r="AJ15" s="241"/>
      <c r="AK15" s="238"/>
      <c r="AL15" s="241"/>
      <c r="AM15" s="238"/>
      <c r="AN15" s="241"/>
      <c r="AO15" s="238"/>
      <c r="AP15" s="241"/>
      <c r="AQ15" s="238"/>
      <c r="AR15" s="241"/>
      <c r="AU15" s="242" t="str">
        <f t="shared" si="8"/>
        <v>WFOŚiGW 37/2005/76/OA/po/P</v>
      </c>
      <c r="AV15" s="243">
        <f t="shared" si="8"/>
        <v>1498996</v>
      </c>
      <c r="AW15" s="244">
        <f t="shared" si="9"/>
        <v>599536</v>
      </c>
      <c r="AX15" s="243">
        <f t="shared" si="10"/>
        <v>28726.07</v>
      </c>
      <c r="AY15" s="245">
        <f t="shared" si="11"/>
        <v>628262.06999999995</v>
      </c>
      <c r="AZ15" s="244">
        <f t="shared" si="12"/>
        <v>399656</v>
      </c>
      <c r="BA15" s="243">
        <f t="shared" si="13"/>
        <v>13155.18</v>
      </c>
      <c r="BB15" s="245">
        <f t="shared" si="14"/>
        <v>412811.18</v>
      </c>
      <c r="BC15" s="244">
        <f t="shared" si="15"/>
        <v>199776</v>
      </c>
      <c r="BD15" s="243">
        <f t="shared" si="16"/>
        <v>3578.18</v>
      </c>
      <c r="BE15" s="245">
        <f t="shared" si="17"/>
        <v>203354.18</v>
      </c>
      <c r="BF15" s="244">
        <f t="shared" si="18"/>
        <v>0</v>
      </c>
      <c r="BG15" s="243">
        <f t="shared" si="19"/>
        <v>0</v>
      </c>
      <c r="BH15" s="245">
        <f t="shared" si="20"/>
        <v>0</v>
      </c>
      <c r="BI15" s="244">
        <f t="shared" si="21"/>
        <v>0</v>
      </c>
      <c r="BJ15" s="243">
        <f t="shared" si="22"/>
        <v>0</v>
      </c>
      <c r="BK15" s="245">
        <f t="shared" si="23"/>
        <v>0</v>
      </c>
      <c r="BL15" s="244">
        <f t="shared" si="24"/>
        <v>0</v>
      </c>
      <c r="BM15" s="243">
        <f t="shared" si="25"/>
        <v>0</v>
      </c>
      <c r="BN15" s="245">
        <f t="shared" si="26"/>
        <v>0</v>
      </c>
      <c r="BO15" s="244">
        <f t="shared" si="27"/>
        <v>0</v>
      </c>
      <c r="BP15" s="243">
        <f t="shared" si="28"/>
        <v>0</v>
      </c>
      <c r="BQ15" s="245">
        <f t="shared" si="29"/>
        <v>0</v>
      </c>
      <c r="BR15" s="244">
        <f t="shared" si="30"/>
        <v>0</v>
      </c>
      <c r="BS15" s="243">
        <f t="shared" si="31"/>
        <v>0</v>
      </c>
      <c r="BT15" s="245">
        <f t="shared" si="32"/>
        <v>0</v>
      </c>
      <c r="BU15" s="244">
        <f t="shared" si="33"/>
        <v>0</v>
      </c>
      <c r="BV15" s="243">
        <f t="shared" si="34"/>
        <v>0</v>
      </c>
      <c r="BW15" s="245">
        <f t="shared" si="35"/>
        <v>0</v>
      </c>
      <c r="BX15" s="244">
        <f t="shared" si="36"/>
        <v>0</v>
      </c>
      <c r="BY15" s="243">
        <f t="shared" si="37"/>
        <v>0</v>
      </c>
      <c r="BZ15" s="245">
        <f t="shared" si="38"/>
        <v>0</v>
      </c>
      <c r="CA15" s="243">
        <f t="shared" si="39"/>
        <v>0</v>
      </c>
      <c r="CB15" s="243">
        <f t="shared" si="40"/>
        <v>0</v>
      </c>
      <c r="CC15" s="245">
        <f t="shared" si="41"/>
        <v>0</v>
      </c>
      <c r="CD15" s="243">
        <f t="shared" si="42"/>
        <v>0</v>
      </c>
      <c r="CE15" s="243">
        <f t="shared" si="43"/>
        <v>0</v>
      </c>
      <c r="CF15" s="245">
        <f t="shared" si="44"/>
        <v>0</v>
      </c>
      <c r="CG15" s="243">
        <f t="shared" si="45"/>
        <v>0</v>
      </c>
      <c r="CH15" s="243">
        <f t="shared" si="46"/>
        <v>0</v>
      </c>
      <c r="CI15" s="245">
        <f t="shared" si="47"/>
        <v>0</v>
      </c>
      <c r="CJ15" s="243">
        <f t="shared" si="48"/>
        <v>0</v>
      </c>
      <c r="CK15" s="243">
        <f t="shared" si="49"/>
        <v>0</v>
      </c>
      <c r="CL15" s="245">
        <f t="shared" si="50"/>
        <v>0</v>
      </c>
      <c r="CM15" s="243">
        <f t="shared" si="51"/>
        <v>0</v>
      </c>
      <c r="CN15" s="243">
        <f t="shared" si="52"/>
        <v>0</v>
      </c>
      <c r="CO15" s="245">
        <f t="shared" si="53"/>
        <v>0</v>
      </c>
      <c r="CP15" s="243">
        <f t="shared" si="54"/>
        <v>0</v>
      </c>
      <c r="CQ15" s="243">
        <f t="shared" si="55"/>
        <v>0</v>
      </c>
      <c r="CR15" s="245">
        <f t="shared" si="56"/>
        <v>0</v>
      </c>
      <c r="CS15" s="243">
        <f t="shared" si="57"/>
        <v>0</v>
      </c>
      <c r="CT15" s="243">
        <f t="shared" si="58"/>
        <v>0</v>
      </c>
      <c r="CU15" s="245">
        <f t="shared" si="59"/>
        <v>0</v>
      </c>
      <c r="CV15" s="243">
        <f t="shared" si="60"/>
        <v>0</v>
      </c>
      <c r="CW15" s="243">
        <f t="shared" si="61"/>
        <v>0</v>
      </c>
      <c r="CX15" s="245">
        <f t="shared" si="62"/>
        <v>0</v>
      </c>
    </row>
    <row r="16" spans="1:102" ht="13.5">
      <c r="A16" s="236" t="s">
        <v>193</v>
      </c>
      <c r="B16" s="237">
        <v>138349</v>
      </c>
      <c r="C16" s="238">
        <v>15372</v>
      </c>
      <c r="D16" s="238">
        <v>3860.66</v>
      </c>
      <c r="E16" s="238">
        <f t="shared" si="7"/>
        <v>88389</v>
      </c>
      <c r="F16" s="238">
        <f t="shared" si="63"/>
        <v>10896.1</v>
      </c>
      <c r="G16" s="238">
        <v>15372</v>
      </c>
      <c r="H16" s="239">
        <v>2939.91</v>
      </c>
      <c r="I16" s="238">
        <v>15372</v>
      </c>
      <c r="J16" s="239">
        <v>2478.75</v>
      </c>
      <c r="K16" s="238">
        <v>15372</v>
      </c>
      <c r="L16" s="238">
        <v>2019</v>
      </c>
      <c r="M16" s="238">
        <v>15372</v>
      </c>
      <c r="N16" s="239">
        <v>1556.43</v>
      </c>
      <c r="O16" s="238">
        <v>15372</v>
      </c>
      <c r="P16" s="238">
        <v>1095.27</v>
      </c>
      <c r="Q16" s="238">
        <v>15372</v>
      </c>
      <c r="R16" s="238">
        <v>634.11</v>
      </c>
      <c r="S16" s="238">
        <v>11529</v>
      </c>
      <c r="T16" s="239">
        <v>172.63</v>
      </c>
      <c r="U16" s="238"/>
      <c r="V16" s="239"/>
      <c r="W16" s="238"/>
      <c r="X16" s="238"/>
      <c r="Y16" s="240"/>
      <c r="Z16" s="239"/>
      <c r="AA16" s="238"/>
      <c r="AB16" s="241"/>
      <c r="AC16" s="238"/>
      <c r="AD16" s="241"/>
      <c r="AE16" s="238"/>
      <c r="AF16" s="241"/>
      <c r="AG16" s="238"/>
      <c r="AH16" s="241"/>
      <c r="AI16" s="238"/>
      <c r="AJ16" s="241"/>
      <c r="AK16" s="238"/>
      <c r="AL16" s="241"/>
      <c r="AM16" s="238"/>
      <c r="AN16" s="241"/>
      <c r="AO16" s="238"/>
      <c r="AP16" s="241"/>
      <c r="AQ16" s="238"/>
      <c r="AR16" s="241"/>
      <c r="AU16" s="242" t="str">
        <f t="shared" si="8"/>
        <v>WFOŚiGW 52/2008/76/OZ/po/P</v>
      </c>
      <c r="AV16" s="243">
        <f t="shared" si="8"/>
        <v>138349</v>
      </c>
      <c r="AW16" s="244">
        <f t="shared" si="9"/>
        <v>88389</v>
      </c>
      <c r="AX16" s="243">
        <f t="shared" si="10"/>
        <v>7956.1900000000005</v>
      </c>
      <c r="AY16" s="245">
        <f t="shared" si="11"/>
        <v>96345.19</v>
      </c>
      <c r="AZ16" s="244">
        <f t="shared" si="12"/>
        <v>73017</v>
      </c>
      <c r="BA16" s="243">
        <f t="shared" si="13"/>
        <v>5477.4400000000005</v>
      </c>
      <c r="BB16" s="245">
        <f t="shared" si="14"/>
        <v>78494.44</v>
      </c>
      <c r="BC16" s="244">
        <f t="shared" si="15"/>
        <v>57645</v>
      </c>
      <c r="BD16" s="243">
        <f t="shared" si="16"/>
        <v>3458.44</v>
      </c>
      <c r="BE16" s="245">
        <f t="shared" si="17"/>
        <v>61103.44</v>
      </c>
      <c r="BF16" s="244">
        <f t="shared" si="18"/>
        <v>42273</v>
      </c>
      <c r="BG16" s="243">
        <f t="shared" si="19"/>
        <v>1902.0100000000002</v>
      </c>
      <c r="BH16" s="245">
        <f t="shared" si="20"/>
        <v>44175.01</v>
      </c>
      <c r="BI16" s="244">
        <f t="shared" si="21"/>
        <v>26901</v>
      </c>
      <c r="BJ16" s="243">
        <f t="shared" si="22"/>
        <v>806.74</v>
      </c>
      <c r="BK16" s="245">
        <f t="shared" si="23"/>
        <v>27707.74</v>
      </c>
      <c r="BL16" s="244">
        <f t="shared" si="24"/>
        <v>11529</v>
      </c>
      <c r="BM16" s="243">
        <f t="shared" si="25"/>
        <v>172.63</v>
      </c>
      <c r="BN16" s="245">
        <f t="shared" si="26"/>
        <v>11701.63</v>
      </c>
      <c r="BO16" s="244">
        <f t="shared" si="27"/>
        <v>0</v>
      </c>
      <c r="BP16" s="243">
        <f t="shared" si="28"/>
        <v>0</v>
      </c>
      <c r="BQ16" s="245">
        <f t="shared" si="29"/>
        <v>0</v>
      </c>
      <c r="BR16" s="244">
        <f t="shared" si="30"/>
        <v>0</v>
      </c>
      <c r="BS16" s="243">
        <f t="shared" si="31"/>
        <v>0</v>
      </c>
      <c r="BT16" s="245">
        <f t="shared" si="32"/>
        <v>0</v>
      </c>
      <c r="BU16" s="244">
        <f t="shared" si="33"/>
        <v>0</v>
      </c>
      <c r="BV16" s="243">
        <f t="shared" si="34"/>
        <v>0</v>
      </c>
      <c r="BW16" s="245">
        <f t="shared" si="35"/>
        <v>0</v>
      </c>
      <c r="BX16" s="244">
        <f t="shared" si="36"/>
        <v>0</v>
      </c>
      <c r="BY16" s="243">
        <f t="shared" si="37"/>
        <v>0</v>
      </c>
      <c r="BZ16" s="245">
        <f t="shared" si="38"/>
        <v>0</v>
      </c>
      <c r="CA16" s="243">
        <f t="shared" si="39"/>
        <v>0</v>
      </c>
      <c r="CB16" s="243">
        <f t="shared" si="40"/>
        <v>0</v>
      </c>
      <c r="CC16" s="245">
        <f t="shared" si="41"/>
        <v>0</v>
      </c>
      <c r="CD16" s="243">
        <f t="shared" si="42"/>
        <v>0</v>
      </c>
      <c r="CE16" s="243">
        <f t="shared" si="43"/>
        <v>0</v>
      </c>
      <c r="CF16" s="245">
        <f t="shared" si="44"/>
        <v>0</v>
      </c>
      <c r="CG16" s="243">
        <f t="shared" si="45"/>
        <v>0</v>
      </c>
      <c r="CH16" s="243">
        <f t="shared" si="46"/>
        <v>0</v>
      </c>
      <c r="CI16" s="245">
        <f t="shared" si="47"/>
        <v>0</v>
      </c>
      <c r="CJ16" s="243">
        <f t="shared" si="48"/>
        <v>0</v>
      </c>
      <c r="CK16" s="243">
        <f t="shared" si="49"/>
        <v>0</v>
      </c>
      <c r="CL16" s="245">
        <f t="shared" si="50"/>
        <v>0</v>
      </c>
      <c r="CM16" s="243">
        <f t="shared" si="51"/>
        <v>0</v>
      </c>
      <c r="CN16" s="243">
        <f t="shared" si="52"/>
        <v>0</v>
      </c>
      <c r="CO16" s="245">
        <f t="shared" si="53"/>
        <v>0</v>
      </c>
      <c r="CP16" s="243">
        <f t="shared" si="54"/>
        <v>0</v>
      </c>
      <c r="CQ16" s="243">
        <f t="shared" si="55"/>
        <v>0</v>
      </c>
      <c r="CR16" s="245">
        <f t="shared" si="56"/>
        <v>0</v>
      </c>
      <c r="CS16" s="243">
        <f t="shared" si="57"/>
        <v>0</v>
      </c>
      <c r="CT16" s="243">
        <f t="shared" si="58"/>
        <v>0</v>
      </c>
      <c r="CU16" s="245">
        <f t="shared" si="59"/>
        <v>0</v>
      </c>
      <c r="CV16" s="243">
        <f t="shared" si="60"/>
        <v>0</v>
      </c>
      <c r="CW16" s="243">
        <f t="shared" si="61"/>
        <v>0</v>
      </c>
      <c r="CX16" s="245">
        <f t="shared" si="62"/>
        <v>0</v>
      </c>
    </row>
    <row r="17" spans="1:102" ht="13.5">
      <c r="A17" s="236" t="s">
        <v>195</v>
      </c>
      <c r="B17" s="237">
        <v>499709</v>
      </c>
      <c r="C17" s="238">
        <v>47500</v>
      </c>
      <c r="D17" s="238">
        <v>12236.21</v>
      </c>
      <c r="E17" s="238">
        <f t="shared" si="7"/>
        <v>285000</v>
      </c>
      <c r="F17" s="238">
        <f t="shared" si="63"/>
        <v>35847.65</v>
      </c>
      <c r="G17" s="238">
        <v>47500</v>
      </c>
      <c r="H17" s="239">
        <v>9396.11</v>
      </c>
      <c r="I17" s="238">
        <v>47500</v>
      </c>
      <c r="J17" s="238">
        <v>7971.11</v>
      </c>
      <c r="K17" s="238">
        <v>47500</v>
      </c>
      <c r="L17" s="238">
        <v>6546</v>
      </c>
      <c r="M17" s="238">
        <v>47500</v>
      </c>
      <c r="N17" s="239">
        <v>5121.12</v>
      </c>
      <c r="O17" s="238">
        <v>47500</v>
      </c>
      <c r="P17" s="238">
        <v>3696.1</v>
      </c>
      <c r="Q17" s="238">
        <v>47500</v>
      </c>
      <c r="R17" s="238">
        <v>2271.1</v>
      </c>
      <c r="S17" s="238">
        <v>47500</v>
      </c>
      <c r="T17" s="239">
        <v>846.11</v>
      </c>
      <c r="U17" s="238"/>
      <c r="V17" s="239"/>
      <c r="W17" s="238"/>
      <c r="X17" s="238"/>
      <c r="Y17" s="240"/>
      <c r="Z17" s="239"/>
      <c r="AA17" s="238"/>
      <c r="AB17" s="241"/>
      <c r="AC17" s="238"/>
      <c r="AD17" s="241"/>
      <c r="AE17" s="238"/>
      <c r="AF17" s="241"/>
      <c r="AG17" s="238"/>
      <c r="AH17" s="241"/>
      <c r="AI17" s="238"/>
      <c r="AJ17" s="241"/>
      <c r="AK17" s="238"/>
      <c r="AL17" s="241"/>
      <c r="AM17" s="238"/>
      <c r="AN17" s="241"/>
      <c r="AO17" s="238"/>
      <c r="AP17" s="241"/>
      <c r="AQ17" s="238"/>
      <c r="AR17" s="241"/>
      <c r="AU17" s="242" t="str">
        <f t="shared" si="8"/>
        <v>WFOŚiGW 57/2007/76/OA/oe/P</v>
      </c>
      <c r="AV17" s="243">
        <f t="shared" si="8"/>
        <v>499709</v>
      </c>
      <c r="AW17" s="244">
        <f t="shared" si="9"/>
        <v>285000</v>
      </c>
      <c r="AX17" s="243">
        <f t="shared" si="10"/>
        <v>26451.539999999997</v>
      </c>
      <c r="AY17" s="245">
        <f t="shared" si="11"/>
        <v>311451.53999999998</v>
      </c>
      <c r="AZ17" s="244">
        <f t="shared" si="12"/>
        <v>237500</v>
      </c>
      <c r="BA17" s="243">
        <f t="shared" si="13"/>
        <v>18480.43</v>
      </c>
      <c r="BB17" s="245">
        <f t="shared" si="14"/>
        <v>255980.43</v>
      </c>
      <c r="BC17" s="244">
        <f t="shared" si="15"/>
        <v>190000</v>
      </c>
      <c r="BD17" s="243">
        <f t="shared" si="16"/>
        <v>11934.43</v>
      </c>
      <c r="BE17" s="245">
        <f t="shared" si="17"/>
        <v>201934.43</v>
      </c>
      <c r="BF17" s="244">
        <f t="shared" si="18"/>
        <v>142500</v>
      </c>
      <c r="BG17" s="243">
        <f t="shared" si="19"/>
        <v>6813.3099999999995</v>
      </c>
      <c r="BH17" s="245">
        <f t="shared" si="20"/>
        <v>149313.31</v>
      </c>
      <c r="BI17" s="244">
        <f t="shared" si="21"/>
        <v>95000</v>
      </c>
      <c r="BJ17" s="243">
        <f t="shared" si="22"/>
        <v>3117.21</v>
      </c>
      <c r="BK17" s="245">
        <f t="shared" si="23"/>
        <v>98117.21</v>
      </c>
      <c r="BL17" s="244">
        <f t="shared" si="24"/>
        <v>47500</v>
      </c>
      <c r="BM17" s="243">
        <f t="shared" si="25"/>
        <v>846.11</v>
      </c>
      <c r="BN17" s="245">
        <f t="shared" si="26"/>
        <v>48346.11</v>
      </c>
      <c r="BO17" s="244">
        <f t="shared" si="27"/>
        <v>0</v>
      </c>
      <c r="BP17" s="243">
        <f t="shared" si="28"/>
        <v>0</v>
      </c>
      <c r="BQ17" s="245">
        <f t="shared" si="29"/>
        <v>0</v>
      </c>
      <c r="BR17" s="244">
        <f t="shared" si="30"/>
        <v>0</v>
      </c>
      <c r="BS17" s="243">
        <f t="shared" si="31"/>
        <v>0</v>
      </c>
      <c r="BT17" s="245">
        <f t="shared" si="32"/>
        <v>0</v>
      </c>
      <c r="BU17" s="244">
        <f t="shared" si="33"/>
        <v>0</v>
      </c>
      <c r="BV17" s="243">
        <f t="shared" si="34"/>
        <v>0</v>
      </c>
      <c r="BW17" s="245">
        <f t="shared" si="35"/>
        <v>0</v>
      </c>
      <c r="BX17" s="244">
        <f t="shared" si="36"/>
        <v>0</v>
      </c>
      <c r="BY17" s="243">
        <f t="shared" si="37"/>
        <v>0</v>
      </c>
      <c r="BZ17" s="245">
        <f t="shared" si="38"/>
        <v>0</v>
      </c>
      <c r="CA17" s="243">
        <f t="shared" si="39"/>
        <v>0</v>
      </c>
      <c r="CB17" s="243">
        <f t="shared" si="40"/>
        <v>0</v>
      </c>
      <c r="CC17" s="245">
        <f t="shared" si="41"/>
        <v>0</v>
      </c>
      <c r="CD17" s="243">
        <f t="shared" si="42"/>
        <v>0</v>
      </c>
      <c r="CE17" s="243">
        <f t="shared" si="43"/>
        <v>0</v>
      </c>
      <c r="CF17" s="245">
        <f t="shared" si="44"/>
        <v>0</v>
      </c>
      <c r="CG17" s="243">
        <f t="shared" si="45"/>
        <v>0</v>
      </c>
      <c r="CH17" s="243">
        <f t="shared" si="46"/>
        <v>0</v>
      </c>
      <c r="CI17" s="245">
        <f t="shared" si="47"/>
        <v>0</v>
      </c>
      <c r="CJ17" s="243">
        <f t="shared" si="48"/>
        <v>0</v>
      </c>
      <c r="CK17" s="243">
        <f t="shared" si="49"/>
        <v>0</v>
      </c>
      <c r="CL17" s="245">
        <f t="shared" si="50"/>
        <v>0</v>
      </c>
      <c r="CM17" s="243">
        <f t="shared" si="51"/>
        <v>0</v>
      </c>
      <c r="CN17" s="243">
        <f t="shared" si="52"/>
        <v>0</v>
      </c>
      <c r="CO17" s="245">
        <f t="shared" si="53"/>
        <v>0</v>
      </c>
      <c r="CP17" s="243">
        <f t="shared" si="54"/>
        <v>0</v>
      </c>
      <c r="CQ17" s="243">
        <f t="shared" si="55"/>
        <v>0</v>
      </c>
      <c r="CR17" s="245">
        <f t="shared" si="56"/>
        <v>0</v>
      </c>
      <c r="CS17" s="243">
        <f t="shared" si="57"/>
        <v>0</v>
      </c>
      <c r="CT17" s="243">
        <f t="shared" si="58"/>
        <v>0</v>
      </c>
      <c r="CU17" s="245">
        <f t="shared" si="59"/>
        <v>0</v>
      </c>
      <c r="CV17" s="243">
        <f t="shared" si="60"/>
        <v>0</v>
      </c>
      <c r="CW17" s="243">
        <f t="shared" si="61"/>
        <v>0</v>
      </c>
      <c r="CX17" s="245">
        <f t="shared" si="62"/>
        <v>0</v>
      </c>
    </row>
    <row r="18" spans="1:102" ht="13.5">
      <c r="A18" s="246" t="s">
        <v>197</v>
      </c>
      <c r="B18" s="247">
        <f>384567-76900</f>
        <v>307667</v>
      </c>
      <c r="C18" s="248">
        <v>38000</v>
      </c>
      <c r="D18" s="248">
        <v>833.8</v>
      </c>
      <c r="E18" s="238">
        <f t="shared" si="7"/>
        <v>0</v>
      </c>
      <c r="F18" s="238">
        <f t="shared" si="63"/>
        <v>93.09</v>
      </c>
      <c r="G18" s="248">
        <v>38000</v>
      </c>
      <c r="H18" s="249">
        <v>93.09</v>
      </c>
      <c r="I18" s="238"/>
      <c r="J18" s="238"/>
      <c r="K18" s="238"/>
      <c r="L18" s="238"/>
      <c r="M18" s="239"/>
      <c r="N18" s="239"/>
      <c r="O18" s="238"/>
      <c r="P18" s="238"/>
      <c r="Q18" s="238"/>
      <c r="R18" s="238"/>
      <c r="S18" s="238"/>
      <c r="T18" s="239"/>
      <c r="U18" s="238"/>
      <c r="V18" s="239"/>
      <c r="W18" s="238"/>
      <c r="X18" s="238"/>
      <c r="Y18" s="240"/>
      <c r="Z18" s="239"/>
      <c r="AA18" s="238"/>
      <c r="AB18" s="241"/>
      <c r="AC18" s="238"/>
      <c r="AD18" s="241"/>
      <c r="AE18" s="238"/>
      <c r="AF18" s="241"/>
      <c r="AG18" s="238"/>
      <c r="AH18" s="241"/>
      <c r="AI18" s="238"/>
      <c r="AJ18" s="241"/>
      <c r="AK18" s="238"/>
      <c r="AL18" s="241"/>
      <c r="AM18" s="238"/>
      <c r="AN18" s="241"/>
      <c r="AO18" s="238"/>
      <c r="AP18" s="241"/>
      <c r="AQ18" s="238"/>
      <c r="AR18" s="241"/>
      <c r="AU18" s="242" t="str">
        <f t="shared" si="8"/>
        <v>WFOŚiGW 174/2003/76/OA/no/P</v>
      </c>
      <c r="AV18" s="243">
        <f t="shared" si="8"/>
        <v>307667</v>
      </c>
      <c r="AW18" s="244">
        <f t="shared" si="9"/>
        <v>0</v>
      </c>
      <c r="AX18" s="243">
        <f t="shared" si="10"/>
        <v>0</v>
      </c>
      <c r="AY18" s="245">
        <f t="shared" si="11"/>
        <v>0</v>
      </c>
      <c r="AZ18" s="244">
        <f t="shared" si="12"/>
        <v>0</v>
      </c>
      <c r="BA18" s="243">
        <f t="shared" si="13"/>
        <v>0</v>
      </c>
      <c r="BB18" s="245">
        <f t="shared" si="14"/>
        <v>0</v>
      </c>
      <c r="BC18" s="244">
        <f t="shared" si="15"/>
        <v>0</v>
      </c>
      <c r="BD18" s="243">
        <f t="shared" si="16"/>
        <v>0</v>
      </c>
      <c r="BE18" s="245">
        <f t="shared" si="17"/>
        <v>0</v>
      </c>
      <c r="BF18" s="244">
        <f t="shared" si="18"/>
        <v>0</v>
      </c>
      <c r="BG18" s="243">
        <f t="shared" si="19"/>
        <v>0</v>
      </c>
      <c r="BH18" s="245">
        <f t="shared" si="20"/>
        <v>0</v>
      </c>
      <c r="BI18" s="244">
        <f t="shared" si="21"/>
        <v>0</v>
      </c>
      <c r="BJ18" s="243">
        <f t="shared" si="22"/>
        <v>0</v>
      </c>
      <c r="BK18" s="245">
        <f t="shared" si="23"/>
        <v>0</v>
      </c>
      <c r="BL18" s="244">
        <f t="shared" si="24"/>
        <v>0</v>
      </c>
      <c r="BM18" s="243">
        <f t="shared" si="25"/>
        <v>0</v>
      </c>
      <c r="BN18" s="245">
        <f t="shared" si="26"/>
        <v>0</v>
      </c>
      <c r="BO18" s="244">
        <f t="shared" si="27"/>
        <v>0</v>
      </c>
      <c r="BP18" s="243">
        <f t="shared" si="28"/>
        <v>0</v>
      </c>
      <c r="BQ18" s="245">
        <f t="shared" si="29"/>
        <v>0</v>
      </c>
      <c r="BR18" s="244">
        <f t="shared" si="30"/>
        <v>0</v>
      </c>
      <c r="BS18" s="243">
        <f t="shared" si="31"/>
        <v>0</v>
      </c>
      <c r="BT18" s="245">
        <f t="shared" si="32"/>
        <v>0</v>
      </c>
      <c r="BU18" s="244">
        <f t="shared" si="33"/>
        <v>0</v>
      </c>
      <c r="BV18" s="243">
        <f t="shared" si="34"/>
        <v>0</v>
      </c>
      <c r="BW18" s="245">
        <f t="shared" si="35"/>
        <v>0</v>
      </c>
      <c r="BX18" s="244">
        <f t="shared" si="36"/>
        <v>0</v>
      </c>
      <c r="BY18" s="243">
        <f t="shared" si="37"/>
        <v>0</v>
      </c>
      <c r="BZ18" s="245">
        <f t="shared" si="38"/>
        <v>0</v>
      </c>
      <c r="CA18" s="243">
        <f t="shared" si="39"/>
        <v>0</v>
      </c>
      <c r="CB18" s="243">
        <f t="shared" si="40"/>
        <v>0</v>
      </c>
      <c r="CC18" s="245">
        <f t="shared" si="41"/>
        <v>0</v>
      </c>
      <c r="CD18" s="243">
        <f t="shared" si="42"/>
        <v>0</v>
      </c>
      <c r="CE18" s="243">
        <f t="shared" si="43"/>
        <v>0</v>
      </c>
      <c r="CF18" s="245">
        <f t="shared" si="44"/>
        <v>0</v>
      </c>
      <c r="CG18" s="243">
        <f t="shared" si="45"/>
        <v>0</v>
      </c>
      <c r="CH18" s="243">
        <f t="shared" si="46"/>
        <v>0</v>
      </c>
      <c r="CI18" s="245">
        <f t="shared" si="47"/>
        <v>0</v>
      </c>
      <c r="CJ18" s="243">
        <f t="shared" si="48"/>
        <v>0</v>
      </c>
      <c r="CK18" s="243">
        <f t="shared" si="49"/>
        <v>0</v>
      </c>
      <c r="CL18" s="245">
        <f t="shared" si="50"/>
        <v>0</v>
      </c>
      <c r="CM18" s="243">
        <f t="shared" si="51"/>
        <v>0</v>
      </c>
      <c r="CN18" s="243">
        <f t="shared" si="52"/>
        <v>0</v>
      </c>
      <c r="CO18" s="245">
        <f t="shared" si="53"/>
        <v>0</v>
      </c>
      <c r="CP18" s="243">
        <f t="shared" si="54"/>
        <v>0</v>
      </c>
      <c r="CQ18" s="243">
        <f t="shared" si="55"/>
        <v>0</v>
      </c>
      <c r="CR18" s="245">
        <f t="shared" si="56"/>
        <v>0</v>
      </c>
      <c r="CS18" s="243">
        <f t="shared" si="57"/>
        <v>0</v>
      </c>
      <c r="CT18" s="243">
        <f t="shared" si="58"/>
        <v>0</v>
      </c>
      <c r="CU18" s="245">
        <f t="shared" si="59"/>
        <v>0</v>
      </c>
      <c r="CV18" s="243">
        <f t="shared" si="60"/>
        <v>0</v>
      </c>
      <c r="CW18" s="243">
        <f t="shared" si="61"/>
        <v>0</v>
      </c>
      <c r="CX18" s="245">
        <f t="shared" si="62"/>
        <v>0</v>
      </c>
    </row>
    <row r="19" spans="1:102" ht="13.5">
      <c r="A19" s="246" t="s">
        <v>199</v>
      </c>
      <c r="B19" s="247">
        <v>366174</v>
      </c>
      <c r="C19" s="248">
        <v>37000</v>
      </c>
      <c r="D19" s="248">
        <v>10239.11</v>
      </c>
      <c r="E19" s="238">
        <f t="shared" si="7"/>
        <v>255174</v>
      </c>
      <c r="F19" s="238">
        <f t="shared" si="63"/>
        <v>32213.559999999998</v>
      </c>
      <c r="G19" s="248">
        <v>37000</v>
      </c>
      <c r="H19" s="249">
        <v>8025.28</v>
      </c>
      <c r="I19" s="248">
        <v>37000</v>
      </c>
      <c r="J19" s="238">
        <v>6915.28</v>
      </c>
      <c r="K19" s="248">
        <v>35087</v>
      </c>
      <c r="L19" s="238">
        <v>5830</v>
      </c>
      <c r="M19" s="248">
        <v>40686</v>
      </c>
      <c r="N19" s="239">
        <v>4678.88</v>
      </c>
      <c r="O19" s="238">
        <v>40686</v>
      </c>
      <c r="P19" s="238">
        <v>3458.35</v>
      </c>
      <c r="Q19" s="238">
        <v>40686</v>
      </c>
      <c r="R19" s="238">
        <v>2237.7199999999998</v>
      </c>
      <c r="S19" s="238">
        <v>40686</v>
      </c>
      <c r="T19" s="239">
        <v>1017.19</v>
      </c>
      <c r="U19" s="238">
        <v>20343</v>
      </c>
      <c r="V19" s="239">
        <v>50.86</v>
      </c>
      <c r="W19" s="238"/>
      <c r="X19" s="238"/>
      <c r="Y19" s="240"/>
      <c r="Z19" s="239"/>
      <c r="AA19" s="238"/>
      <c r="AB19" s="241"/>
      <c r="AC19" s="238"/>
      <c r="AD19" s="241"/>
      <c r="AE19" s="238"/>
      <c r="AF19" s="241"/>
      <c r="AG19" s="238"/>
      <c r="AH19" s="241"/>
      <c r="AI19" s="238"/>
      <c r="AJ19" s="241"/>
      <c r="AK19" s="238"/>
      <c r="AL19" s="241"/>
      <c r="AM19" s="238"/>
      <c r="AN19" s="241"/>
      <c r="AO19" s="238"/>
      <c r="AP19" s="241"/>
      <c r="AQ19" s="238"/>
      <c r="AR19" s="241"/>
      <c r="AU19" s="242" t="str">
        <f t="shared" si="8"/>
        <v>WFOŚiGW 194/2008/76/OA/no/P</v>
      </c>
      <c r="AV19" s="243">
        <f t="shared" si="8"/>
        <v>366174</v>
      </c>
      <c r="AW19" s="244">
        <f t="shared" si="9"/>
        <v>255174</v>
      </c>
      <c r="AX19" s="243">
        <f t="shared" si="10"/>
        <v>24188.28</v>
      </c>
      <c r="AY19" s="245">
        <f t="shared" si="11"/>
        <v>279362.28000000003</v>
      </c>
      <c r="AZ19" s="244">
        <f t="shared" si="12"/>
        <v>218174</v>
      </c>
      <c r="BA19" s="243">
        <f t="shared" si="13"/>
        <v>17273</v>
      </c>
      <c r="BB19" s="245">
        <f t="shared" si="14"/>
        <v>235447</v>
      </c>
      <c r="BC19" s="244">
        <f t="shared" si="15"/>
        <v>183087</v>
      </c>
      <c r="BD19" s="243">
        <f t="shared" si="16"/>
        <v>11443</v>
      </c>
      <c r="BE19" s="245">
        <f t="shared" si="17"/>
        <v>194530</v>
      </c>
      <c r="BF19" s="244">
        <f t="shared" si="18"/>
        <v>142401</v>
      </c>
      <c r="BG19" s="243">
        <f t="shared" si="19"/>
        <v>6764.12</v>
      </c>
      <c r="BH19" s="245">
        <f t="shared" si="20"/>
        <v>149165.12</v>
      </c>
      <c r="BI19" s="244">
        <f t="shared" si="21"/>
        <v>101715</v>
      </c>
      <c r="BJ19" s="243">
        <f t="shared" si="22"/>
        <v>3305.77</v>
      </c>
      <c r="BK19" s="245">
        <f t="shared" si="23"/>
        <v>105020.77</v>
      </c>
      <c r="BL19" s="244">
        <f t="shared" si="24"/>
        <v>61029</v>
      </c>
      <c r="BM19" s="243">
        <f t="shared" si="25"/>
        <v>1068.05</v>
      </c>
      <c r="BN19" s="245">
        <f t="shared" si="26"/>
        <v>62097.05</v>
      </c>
      <c r="BO19" s="244">
        <f t="shared" si="27"/>
        <v>20343</v>
      </c>
      <c r="BP19" s="243">
        <f t="shared" si="28"/>
        <v>50.86</v>
      </c>
      <c r="BQ19" s="245">
        <f t="shared" si="29"/>
        <v>20393.86</v>
      </c>
      <c r="BR19" s="244">
        <f t="shared" si="30"/>
        <v>0</v>
      </c>
      <c r="BS19" s="243">
        <f t="shared" si="31"/>
        <v>0</v>
      </c>
      <c r="BT19" s="245">
        <f t="shared" si="32"/>
        <v>0</v>
      </c>
      <c r="BU19" s="244">
        <f t="shared" si="33"/>
        <v>0</v>
      </c>
      <c r="BV19" s="243">
        <f t="shared" si="34"/>
        <v>0</v>
      </c>
      <c r="BW19" s="245">
        <f t="shared" si="35"/>
        <v>0</v>
      </c>
      <c r="BX19" s="244">
        <f t="shared" si="36"/>
        <v>0</v>
      </c>
      <c r="BY19" s="243">
        <f t="shared" si="37"/>
        <v>0</v>
      </c>
      <c r="BZ19" s="245">
        <f t="shared" si="38"/>
        <v>0</v>
      </c>
      <c r="CA19" s="243">
        <f t="shared" si="39"/>
        <v>0</v>
      </c>
      <c r="CB19" s="243">
        <f t="shared" si="40"/>
        <v>0</v>
      </c>
      <c r="CC19" s="245">
        <f t="shared" si="41"/>
        <v>0</v>
      </c>
      <c r="CD19" s="243">
        <f t="shared" si="42"/>
        <v>0</v>
      </c>
      <c r="CE19" s="243">
        <f t="shared" si="43"/>
        <v>0</v>
      </c>
      <c r="CF19" s="245">
        <f t="shared" si="44"/>
        <v>0</v>
      </c>
      <c r="CG19" s="243">
        <f t="shared" si="45"/>
        <v>0</v>
      </c>
      <c r="CH19" s="243">
        <f t="shared" si="46"/>
        <v>0</v>
      </c>
      <c r="CI19" s="245">
        <f t="shared" si="47"/>
        <v>0</v>
      </c>
      <c r="CJ19" s="243">
        <f t="shared" si="48"/>
        <v>0</v>
      </c>
      <c r="CK19" s="243">
        <f t="shared" si="49"/>
        <v>0</v>
      </c>
      <c r="CL19" s="245">
        <f t="shared" si="50"/>
        <v>0</v>
      </c>
      <c r="CM19" s="243">
        <f t="shared" si="51"/>
        <v>0</v>
      </c>
      <c r="CN19" s="243">
        <f t="shared" si="52"/>
        <v>0</v>
      </c>
      <c r="CO19" s="245">
        <f t="shared" si="53"/>
        <v>0</v>
      </c>
      <c r="CP19" s="243">
        <f t="shared" si="54"/>
        <v>0</v>
      </c>
      <c r="CQ19" s="243">
        <f t="shared" si="55"/>
        <v>0</v>
      </c>
      <c r="CR19" s="245">
        <f t="shared" si="56"/>
        <v>0</v>
      </c>
      <c r="CS19" s="243">
        <f t="shared" si="57"/>
        <v>0</v>
      </c>
      <c r="CT19" s="243">
        <f t="shared" si="58"/>
        <v>0</v>
      </c>
      <c r="CU19" s="245">
        <f t="shared" si="59"/>
        <v>0</v>
      </c>
      <c r="CV19" s="243">
        <f t="shared" si="60"/>
        <v>0</v>
      </c>
      <c r="CW19" s="243">
        <f t="shared" si="61"/>
        <v>0</v>
      </c>
      <c r="CX19" s="245">
        <f t="shared" si="62"/>
        <v>0</v>
      </c>
    </row>
    <row r="20" spans="1:102" ht="13.5">
      <c r="A20" s="246" t="s">
        <v>201</v>
      </c>
      <c r="B20" s="247">
        <v>562761</v>
      </c>
      <c r="C20" s="248">
        <v>62532</v>
      </c>
      <c r="D20" s="248">
        <v>10994.41</v>
      </c>
      <c r="E20" s="238">
        <f t="shared" si="7"/>
        <v>203202</v>
      </c>
      <c r="F20" s="238">
        <f t="shared" si="63"/>
        <v>17878.240000000002</v>
      </c>
      <c r="G20" s="248">
        <v>62532</v>
      </c>
      <c r="H20" s="249">
        <v>7249</v>
      </c>
      <c r="I20" s="248">
        <v>62532</v>
      </c>
      <c r="J20" s="238">
        <v>5373.05</v>
      </c>
      <c r="K20" s="248">
        <v>62532</v>
      </c>
      <c r="L20" s="238">
        <v>3518</v>
      </c>
      <c r="M20" s="248">
        <v>62532</v>
      </c>
      <c r="N20" s="239">
        <v>1621.13</v>
      </c>
      <c r="O20" s="238">
        <v>15606</v>
      </c>
      <c r="P20" s="238">
        <v>117.06</v>
      </c>
      <c r="Q20" s="238"/>
      <c r="R20" s="238"/>
      <c r="S20" s="238"/>
      <c r="T20" s="239"/>
      <c r="U20" s="238"/>
      <c r="V20" s="239"/>
      <c r="W20" s="238"/>
      <c r="X20" s="238"/>
      <c r="Y20" s="240"/>
      <c r="Z20" s="239"/>
      <c r="AA20" s="238"/>
      <c r="AB20" s="241"/>
      <c r="AC20" s="238"/>
      <c r="AD20" s="241"/>
      <c r="AE20" s="238"/>
      <c r="AF20" s="241"/>
      <c r="AG20" s="238"/>
      <c r="AH20" s="241"/>
      <c r="AI20" s="238"/>
      <c r="AJ20" s="241"/>
      <c r="AK20" s="238"/>
      <c r="AL20" s="241"/>
      <c r="AM20" s="238"/>
      <c r="AN20" s="241"/>
      <c r="AO20" s="238"/>
      <c r="AP20" s="241"/>
      <c r="AQ20" s="238"/>
      <c r="AR20" s="241"/>
      <c r="AU20" s="242" t="str">
        <f t="shared" si="8"/>
        <v>WFOŚiGW 260/2005/76/OA/oe/P</v>
      </c>
      <c r="AV20" s="243">
        <f t="shared" si="8"/>
        <v>562761</v>
      </c>
      <c r="AW20" s="244">
        <f t="shared" si="9"/>
        <v>203202</v>
      </c>
      <c r="AX20" s="243">
        <f t="shared" si="10"/>
        <v>10629.24</v>
      </c>
      <c r="AY20" s="245">
        <f t="shared" si="11"/>
        <v>213831.24</v>
      </c>
      <c r="AZ20" s="244">
        <f t="shared" si="12"/>
        <v>140670</v>
      </c>
      <c r="BA20" s="243">
        <f t="shared" si="13"/>
        <v>5256.1900000000005</v>
      </c>
      <c r="BB20" s="245">
        <f t="shared" si="14"/>
        <v>145926.19</v>
      </c>
      <c r="BC20" s="244">
        <f t="shared" si="15"/>
        <v>78138</v>
      </c>
      <c r="BD20" s="243">
        <f t="shared" si="16"/>
        <v>1738.19</v>
      </c>
      <c r="BE20" s="245">
        <f t="shared" si="17"/>
        <v>79876.19</v>
      </c>
      <c r="BF20" s="244">
        <f t="shared" si="18"/>
        <v>15606</v>
      </c>
      <c r="BG20" s="243">
        <f t="shared" si="19"/>
        <v>117.06</v>
      </c>
      <c r="BH20" s="245">
        <f t="shared" si="20"/>
        <v>15723.06</v>
      </c>
      <c r="BI20" s="244">
        <f t="shared" si="21"/>
        <v>0</v>
      </c>
      <c r="BJ20" s="243">
        <f t="shared" si="22"/>
        <v>0</v>
      </c>
      <c r="BK20" s="245">
        <f t="shared" si="23"/>
        <v>0</v>
      </c>
      <c r="BL20" s="244">
        <f t="shared" si="24"/>
        <v>0</v>
      </c>
      <c r="BM20" s="243">
        <f t="shared" si="25"/>
        <v>0</v>
      </c>
      <c r="BN20" s="245">
        <f t="shared" si="26"/>
        <v>0</v>
      </c>
      <c r="BO20" s="244">
        <f t="shared" si="27"/>
        <v>0</v>
      </c>
      <c r="BP20" s="243">
        <f t="shared" si="28"/>
        <v>0</v>
      </c>
      <c r="BQ20" s="245">
        <f t="shared" si="29"/>
        <v>0</v>
      </c>
      <c r="BR20" s="244">
        <f t="shared" si="30"/>
        <v>0</v>
      </c>
      <c r="BS20" s="243">
        <f t="shared" si="31"/>
        <v>0</v>
      </c>
      <c r="BT20" s="245">
        <f t="shared" si="32"/>
        <v>0</v>
      </c>
      <c r="BU20" s="244">
        <f t="shared" si="33"/>
        <v>0</v>
      </c>
      <c r="BV20" s="243">
        <f t="shared" si="34"/>
        <v>0</v>
      </c>
      <c r="BW20" s="245">
        <f t="shared" si="35"/>
        <v>0</v>
      </c>
      <c r="BX20" s="244">
        <f t="shared" si="36"/>
        <v>0</v>
      </c>
      <c r="BY20" s="243">
        <f t="shared" si="37"/>
        <v>0</v>
      </c>
      <c r="BZ20" s="245">
        <f t="shared" si="38"/>
        <v>0</v>
      </c>
      <c r="CA20" s="243">
        <f t="shared" si="39"/>
        <v>0</v>
      </c>
      <c r="CB20" s="243">
        <f t="shared" si="40"/>
        <v>0</v>
      </c>
      <c r="CC20" s="245">
        <f t="shared" si="41"/>
        <v>0</v>
      </c>
      <c r="CD20" s="243">
        <f t="shared" si="42"/>
        <v>0</v>
      </c>
      <c r="CE20" s="243">
        <f t="shared" si="43"/>
        <v>0</v>
      </c>
      <c r="CF20" s="245">
        <f t="shared" si="44"/>
        <v>0</v>
      </c>
      <c r="CG20" s="243">
        <f t="shared" si="45"/>
        <v>0</v>
      </c>
      <c r="CH20" s="243">
        <f t="shared" si="46"/>
        <v>0</v>
      </c>
      <c r="CI20" s="245">
        <f t="shared" si="47"/>
        <v>0</v>
      </c>
      <c r="CJ20" s="243">
        <f t="shared" si="48"/>
        <v>0</v>
      </c>
      <c r="CK20" s="243">
        <f t="shared" si="49"/>
        <v>0</v>
      </c>
      <c r="CL20" s="245">
        <f t="shared" si="50"/>
        <v>0</v>
      </c>
      <c r="CM20" s="243">
        <f t="shared" si="51"/>
        <v>0</v>
      </c>
      <c r="CN20" s="243">
        <f t="shared" si="52"/>
        <v>0</v>
      </c>
      <c r="CO20" s="245">
        <f t="shared" si="53"/>
        <v>0</v>
      </c>
      <c r="CP20" s="243">
        <f t="shared" si="54"/>
        <v>0</v>
      </c>
      <c r="CQ20" s="243">
        <f t="shared" si="55"/>
        <v>0</v>
      </c>
      <c r="CR20" s="245">
        <f t="shared" si="56"/>
        <v>0</v>
      </c>
      <c r="CS20" s="243">
        <f t="shared" si="57"/>
        <v>0</v>
      </c>
      <c r="CT20" s="243">
        <f t="shared" si="58"/>
        <v>0</v>
      </c>
      <c r="CU20" s="245">
        <f t="shared" si="59"/>
        <v>0</v>
      </c>
      <c r="CV20" s="243">
        <f t="shared" si="60"/>
        <v>0</v>
      </c>
      <c r="CW20" s="243">
        <f t="shared" si="61"/>
        <v>0</v>
      </c>
      <c r="CX20" s="245">
        <f t="shared" si="62"/>
        <v>0</v>
      </c>
    </row>
    <row r="21" spans="1:102" ht="13.5">
      <c r="A21" s="236" t="s">
        <v>203</v>
      </c>
      <c r="B21" s="237">
        <f>1667886-750548</f>
        <v>917338</v>
      </c>
      <c r="C21" s="238">
        <v>162720</v>
      </c>
      <c r="D21" s="238">
        <v>18197.599999999999</v>
      </c>
      <c r="E21" s="238">
        <f t="shared" si="7"/>
        <v>185097.3</v>
      </c>
      <c r="F21" s="238">
        <f t="shared" si="63"/>
        <v>12205.039999999999</v>
      </c>
      <c r="G21" s="238">
        <v>162720</v>
      </c>
      <c r="H21" s="239">
        <v>8468.32</v>
      </c>
      <c r="I21" s="238">
        <v>162720</v>
      </c>
      <c r="J21" s="238">
        <v>3586.72</v>
      </c>
      <c r="K21" s="238">
        <v>22377.3</v>
      </c>
      <c r="L21" s="238">
        <v>150</v>
      </c>
      <c r="M21" s="239"/>
      <c r="N21" s="239"/>
      <c r="O21" s="238"/>
      <c r="P21" s="238"/>
      <c r="Q21" s="238"/>
      <c r="R21" s="238"/>
      <c r="S21" s="238"/>
      <c r="T21" s="239"/>
      <c r="U21" s="238"/>
      <c r="V21" s="239"/>
      <c r="W21" s="238"/>
      <c r="X21" s="238"/>
      <c r="Y21" s="240"/>
      <c r="Z21" s="239"/>
      <c r="AA21" s="238"/>
      <c r="AB21" s="241"/>
      <c r="AC21" s="238"/>
      <c r="AD21" s="241"/>
      <c r="AE21" s="238"/>
      <c r="AF21" s="241"/>
      <c r="AG21" s="238"/>
      <c r="AH21" s="241"/>
      <c r="AI21" s="238"/>
      <c r="AJ21" s="241"/>
      <c r="AK21" s="238"/>
      <c r="AL21" s="241"/>
      <c r="AM21" s="238"/>
      <c r="AN21" s="241"/>
      <c r="AO21" s="238"/>
      <c r="AP21" s="241"/>
      <c r="AQ21" s="238"/>
      <c r="AR21" s="241"/>
      <c r="AU21" s="242" t="str">
        <f t="shared" si="8"/>
        <v>WFOŚiGW 302/2006/76/OA/po/P</v>
      </c>
      <c r="AV21" s="243">
        <f t="shared" si="8"/>
        <v>917338</v>
      </c>
      <c r="AW21" s="244">
        <f t="shared" si="9"/>
        <v>185097.3</v>
      </c>
      <c r="AX21" s="243">
        <f t="shared" si="10"/>
        <v>3736.72</v>
      </c>
      <c r="AY21" s="245">
        <f t="shared" si="11"/>
        <v>188834.02</v>
      </c>
      <c r="AZ21" s="244">
        <f t="shared" si="12"/>
        <v>22377.3</v>
      </c>
      <c r="BA21" s="243">
        <f t="shared" si="13"/>
        <v>150</v>
      </c>
      <c r="BB21" s="245">
        <f t="shared" si="14"/>
        <v>22527.3</v>
      </c>
      <c r="BC21" s="244">
        <f t="shared" si="15"/>
        <v>0</v>
      </c>
      <c r="BD21" s="243">
        <f t="shared" si="16"/>
        <v>0</v>
      </c>
      <c r="BE21" s="245">
        <f t="shared" si="17"/>
        <v>0</v>
      </c>
      <c r="BF21" s="244">
        <f t="shared" si="18"/>
        <v>0</v>
      </c>
      <c r="BG21" s="243">
        <f t="shared" si="19"/>
        <v>0</v>
      </c>
      <c r="BH21" s="245">
        <f t="shared" si="20"/>
        <v>0</v>
      </c>
      <c r="BI21" s="244">
        <f t="shared" si="21"/>
        <v>0</v>
      </c>
      <c r="BJ21" s="243">
        <f t="shared" si="22"/>
        <v>0</v>
      </c>
      <c r="BK21" s="245">
        <f t="shared" si="23"/>
        <v>0</v>
      </c>
      <c r="BL21" s="244">
        <f t="shared" si="24"/>
        <v>0</v>
      </c>
      <c r="BM21" s="243">
        <f t="shared" si="25"/>
        <v>0</v>
      </c>
      <c r="BN21" s="245">
        <f t="shared" si="26"/>
        <v>0</v>
      </c>
      <c r="BO21" s="244">
        <f t="shared" si="27"/>
        <v>0</v>
      </c>
      <c r="BP21" s="243">
        <f t="shared" si="28"/>
        <v>0</v>
      </c>
      <c r="BQ21" s="245">
        <f t="shared" si="29"/>
        <v>0</v>
      </c>
      <c r="BR21" s="244">
        <f t="shared" si="30"/>
        <v>0</v>
      </c>
      <c r="BS21" s="243">
        <f t="shared" si="31"/>
        <v>0</v>
      </c>
      <c r="BT21" s="245">
        <f t="shared" si="32"/>
        <v>0</v>
      </c>
      <c r="BU21" s="244">
        <f t="shared" si="33"/>
        <v>0</v>
      </c>
      <c r="BV21" s="243">
        <f t="shared" si="34"/>
        <v>0</v>
      </c>
      <c r="BW21" s="245">
        <f t="shared" si="35"/>
        <v>0</v>
      </c>
      <c r="BX21" s="244">
        <f t="shared" si="36"/>
        <v>0</v>
      </c>
      <c r="BY21" s="243">
        <f t="shared" si="37"/>
        <v>0</v>
      </c>
      <c r="BZ21" s="245">
        <f t="shared" si="38"/>
        <v>0</v>
      </c>
      <c r="CA21" s="243">
        <f t="shared" si="39"/>
        <v>0</v>
      </c>
      <c r="CB21" s="243">
        <f t="shared" si="40"/>
        <v>0</v>
      </c>
      <c r="CC21" s="245">
        <f t="shared" si="41"/>
        <v>0</v>
      </c>
      <c r="CD21" s="243">
        <f t="shared" si="42"/>
        <v>0</v>
      </c>
      <c r="CE21" s="243">
        <f t="shared" si="43"/>
        <v>0</v>
      </c>
      <c r="CF21" s="245">
        <f t="shared" si="44"/>
        <v>0</v>
      </c>
      <c r="CG21" s="243">
        <f t="shared" si="45"/>
        <v>0</v>
      </c>
      <c r="CH21" s="243">
        <f t="shared" si="46"/>
        <v>0</v>
      </c>
      <c r="CI21" s="245">
        <f t="shared" si="47"/>
        <v>0</v>
      </c>
      <c r="CJ21" s="243">
        <f t="shared" si="48"/>
        <v>0</v>
      </c>
      <c r="CK21" s="243">
        <f t="shared" si="49"/>
        <v>0</v>
      </c>
      <c r="CL21" s="245">
        <f t="shared" si="50"/>
        <v>0</v>
      </c>
      <c r="CM21" s="243">
        <f t="shared" si="51"/>
        <v>0</v>
      </c>
      <c r="CN21" s="243">
        <f t="shared" si="52"/>
        <v>0</v>
      </c>
      <c r="CO21" s="245">
        <f t="shared" si="53"/>
        <v>0</v>
      </c>
      <c r="CP21" s="243">
        <f t="shared" si="54"/>
        <v>0</v>
      </c>
      <c r="CQ21" s="243">
        <f t="shared" si="55"/>
        <v>0</v>
      </c>
      <c r="CR21" s="245">
        <f t="shared" si="56"/>
        <v>0</v>
      </c>
      <c r="CS21" s="243">
        <f t="shared" si="57"/>
        <v>0</v>
      </c>
      <c r="CT21" s="243">
        <f t="shared" si="58"/>
        <v>0</v>
      </c>
      <c r="CU21" s="245">
        <f t="shared" si="59"/>
        <v>0</v>
      </c>
      <c r="CV21" s="243">
        <f t="shared" si="60"/>
        <v>0</v>
      </c>
      <c r="CW21" s="243">
        <f t="shared" si="61"/>
        <v>0</v>
      </c>
      <c r="CX21" s="245">
        <f t="shared" si="62"/>
        <v>0</v>
      </c>
    </row>
    <row r="22" spans="1:102" ht="13.5">
      <c r="A22" s="236" t="s">
        <v>205</v>
      </c>
      <c r="B22" s="237">
        <v>548278</v>
      </c>
      <c r="C22" s="238">
        <v>54824</v>
      </c>
      <c r="D22" s="238">
        <v>12124.13</v>
      </c>
      <c r="E22" s="238">
        <f t="shared" si="7"/>
        <v>260414</v>
      </c>
      <c r="F22" s="238">
        <f t="shared" si="63"/>
        <v>28371.64</v>
      </c>
      <c r="G22" s="238">
        <v>54824</v>
      </c>
      <c r="H22" s="239">
        <v>8840.4</v>
      </c>
      <c r="I22" s="238">
        <v>54824</v>
      </c>
      <c r="J22" s="238">
        <v>7195.68</v>
      </c>
      <c r="K22" s="238">
        <v>54824</v>
      </c>
      <c r="L22" s="238">
        <v>5551</v>
      </c>
      <c r="M22" s="238">
        <v>54824</v>
      </c>
      <c r="N22" s="239">
        <v>3906.24</v>
      </c>
      <c r="O22" s="238">
        <v>54824</v>
      </c>
      <c r="P22" s="238">
        <v>2261.52</v>
      </c>
      <c r="Q22" s="238">
        <v>41118</v>
      </c>
      <c r="R22" s="238">
        <v>616.79999999999995</v>
      </c>
      <c r="S22" s="238"/>
      <c r="T22" s="239"/>
      <c r="U22" s="238"/>
      <c r="V22" s="239"/>
      <c r="W22" s="238"/>
      <c r="X22" s="238"/>
      <c r="Y22" s="240"/>
      <c r="Z22" s="239"/>
      <c r="AA22" s="238"/>
      <c r="AB22" s="241"/>
      <c r="AC22" s="238"/>
      <c r="AD22" s="241"/>
      <c r="AE22" s="238"/>
      <c r="AF22" s="241"/>
      <c r="AG22" s="238"/>
      <c r="AH22" s="241"/>
      <c r="AI22" s="238"/>
      <c r="AJ22" s="241"/>
      <c r="AK22" s="238"/>
      <c r="AL22" s="241"/>
      <c r="AM22" s="238"/>
      <c r="AN22" s="241"/>
      <c r="AO22" s="238"/>
      <c r="AP22" s="241"/>
      <c r="AQ22" s="238"/>
      <c r="AR22" s="241"/>
      <c r="AU22" s="242" t="str">
        <f t="shared" si="8"/>
        <v>WFOŚiGW 309/2006/76/OZ/uk/P</v>
      </c>
      <c r="AV22" s="243">
        <f t="shared" si="8"/>
        <v>548278</v>
      </c>
      <c r="AW22" s="244">
        <f t="shared" si="9"/>
        <v>260414</v>
      </c>
      <c r="AX22" s="243">
        <f t="shared" si="10"/>
        <v>19531.239999999998</v>
      </c>
      <c r="AY22" s="245">
        <f t="shared" si="11"/>
        <v>279945.24</v>
      </c>
      <c r="AZ22" s="244">
        <f t="shared" si="12"/>
        <v>205590</v>
      </c>
      <c r="BA22" s="243">
        <f t="shared" si="13"/>
        <v>12335.56</v>
      </c>
      <c r="BB22" s="245">
        <f t="shared" si="14"/>
        <v>217925.56</v>
      </c>
      <c r="BC22" s="244">
        <f t="shared" si="15"/>
        <v>150766</v>
      </c>
      <c r="BD22" s="243">
        <f t="shared" si="16"/>
        <v>6784.56</v>
      </c>
      <c r="BE22" s="245">
        <f t="shared" si="17"/>
        <v>157550.56</v>
      </c>
      <c r="BF22" s="244">
        <f t="shared" si="18"/>
        <v>95942</v>
      </c>
      <c r="BG22" s="243">
        <f t="shared" si="19"/>
        <v>2878.3199999999997</v>
      </c>
      <c r="BH22" s="245">
        <f t="shared" si="20"/>
        <v>98820.32</v>
      </c>
      <c r="BI22" s="244">
        <f t="shared" si="21"/>
        <v>41118</v>
      </c>
      <c r="BJ22" s="243">
        <f t="shared" si="22"/>
        <v>616.79999999999995</v>
      </c>
      <c r="BK22" s="245">
        <f t="shared" si="23"/>
        <v>41734.800000000003</v>
      </c>
      <c r="BL22" s="244">
        <f t="shared" si="24"/>
        <v>0</v>
      </c>
      <c r="BM22" s="243">
        <f t="shared" si="25"/>
        <v>0</v>
      </c>
      <c r="BN22" s="245">
        <f t="shared" si="26"/>
        <v>0</v>
      </c>
      <c r="BO22" s="244">
        <f t="shared" si="27"/>
        <v>0</v>
      </c>
      <c r="BP22" s="243">
        <f t="shared" si="28"/>
        <v>0</v>
      </c>
      <c r="BQ22" s="245">
        <f t="shared" si="29"/>
        <v>0</v>
      </c>
      <c r="BR22" s="244">
        <f t="shared" si="30"/>
        <v>0</v>
      </c>
      <c r="BS22" s="243">
        <f t="shared" si="31"/>
        <v>0</v>
      </c>
      <c r="BT22" s="245">
        <f t="shared" si="32"/>
        <v>0</v>
      </c>
      <c r="BU22" s="244">
        <f t="shared" si="33"/>
        <v>0</v>
      </c>
      <c r="BV22" s="243">
        <f t="shared" si="34"/>
        <v>0</v>
      </c>
      <c r="BW22" s="245">
        <f t="shared" si="35"/>
        <v>0</v>
      </c>
      <c r="BX22" s="244">
        <f t="shared" si="36"/>
        <v>0</v>
      </c>
      <c r="BY22" s="243">
        <f t="shared" si="37"/>
        <v>0</v>
      </c>
      <c r="BZ22" s="245">
        <f t="shared" si="38"/>
        <v>0</v>
      </c>
      <c r="CA22" s="243">
        <f t="shared" si="39"/>
        <v>0</v>
      </c>
      <c r="CB22" s="243">
        <f t="shared" si="40"/>
        <v>0</v>
      </c>
      <c r="CC22" s="245">
        <f t="shared" si="41"/>
        <v>0</v>
      </c>
      <c r="CD22" s="243">
        <f t="shared" si="42"/>
        <v>0</v>
      </c>
      <c r="CE22" s="243">
        <f t="shared" si="43"/>
        <v>0</v>
      </c>
      <c r="CF22" s="245">
        <f t="shared" si="44"/>
        <v>0</v>
      </c>
      <c r="CG22" s="243">
        <f t="shared" si="45"/>
        <v>0</v>
      </c>
      <c r="CH22" s="243">
        <f t="shared" si="46"/>
        <v>0</v>
      </c>
      <c r="CI22" s="245">
        <f t="shared" si="47"/>
        <v>0</v>
      </c>
      <c r="CJ22" s="243">
        <f t="shared" si="48"/>
        <v>0</v>
      </c>
      <c r="CK22" s="243">
        <f t="shared" si="49"/>
        <v>0</v>
      </c>
      <c r="CL22" s="245">
        <f t="shared" si="50"/>
        <v>0</v>
      </c>
      <c r="CM22" s="243">
        <f t="shared" si="51"/>
        <v>0</v>
      </c>
      <c r="CN22" s="243">
        <f t="shared" si="52"/>
        <v>0</v>
      </c>
      <c r="CO22" s="245">
        <f t="shared" si="53"/>
        <v>0</v>
      </c>
      <c r="CP22" s="243">
        <f t="shared" si="54"/>
        <v>0</v>
      </c>
      <c r="CQ22" s="243">
        <f t="shared" si="55"/>
        <v>0</v>
      </c>
      <c r="CR22" s="245">
        <f t="shared" si="56"/>
        <v>0</v>
      </c>
      <c r="CS22" s="243">
        <f t="shared" si="57"/>
        <v>0</v>
      </c>
      <c r="CT22" s="243">
        <f t="shared" si="58"/>
        <v>0</v>
      </c>
      <c r="CU22" s="245">
        <f t="shared" si="59"/>
        <v>0</v>
      </c>
      <c r="CV22" s="243">
        <f t="shared" si="60"/>
        <v>0</v>
      </c>
      <c r="CW22" s="243">
        <f t="shared" si="61"/>
        <v>0</v>
      </c>
      <c r="CX22" s="245">
        <f t="shared" si="62"/>
        <v>0</v>
      </c>
    </row>
    <row r="23" spans="1:102" ht="13.5">
      <c r="A23" s="246" t="s">
        <v>207</v>
      </c>
      <c r="B23" s="247">
        <v>222896</v>
      </c>
      <c r="C23" s="248">
        <v>23480</v>
      </c>
      <c r="D23" s="248">
        <v>5869.99</v>
      </c>
      <c r="E23" s="238">
        <f t="shared" si="7"/>
        <v>134846</v>
      </c>
      <c r="F23" s="238">
        <f t="shared" si="63"/>
        <v>16477.169999999998</v>
      </c>
      <c r="G23" s="248">
        <v>23480</v>
      </c>
      <c r="H23" s="249">
        <v>4466.09</v>
      </c>
      <c r="I23" s="248">
        <v>23480</v>
      </c>
      <c r="J23" s="238">
        <v>3761.69</v>
      </c>
      <c r="K23" s="248">
        <v>23480</v>
      </c>
      <c r="L23" s="238">
        <v>3058</v>
      </c>
      <c r="M23" s="248">
        <v>23480</v>
      </c>
      <c r="N23" s="239">
        <v>2352.89</v>
      </c>
      <c r="O23" s="248">
        <v>23480</v>
      </c>
      <c r="P23" s="238">
        <v>1648.49</v>
      </c>
      <c r="Q23" s="248">
        <v>23480</v>
      </c>
      <c r="R23" s="238">
        <v>944.08</v>
      </c>
      <c r="S23" s="238">
        <v>17446</v>
      </c>
      <c r="T23" s="239">
        <v>245.93</v>
      </c>
      <c r="U23" s="238"/>
      <c r="V23" s="239"/>
      <c r="W23" s="238"/>
      <c r="X23" s="238"/>
      <c r="Y23" s="240"/>
      <c r="Z23" s="239"/>
      <c r="AA23" s="238"/>
      <c r="AB23" s="241"/>
      <c r="AC23" s="238"/>
      <c r="AD23" s="241"/>
      <c r="AE23" s="238"/>
      <c r="AF23" s="241"/>
      <c r="AG23" s="238"/>
      <c r="AH23" s="241"/>
      <c r="AI23" s="238"/>
      <c r="AJ23" s="241"/>
      <c r="AK23" s="238"/>
      <c r="AL23" s="241"/>
      <c r="AM23" s="238"/>
      <c r="AN23" s="241"/>
      <c r="AO23" s="238"/>
      <c r="AP23" s="241"/>
      <c r="AQ23" s="238"/>
      <c r="AR23" s="241"/>
      <c r="AU23" s="242" t="str">
        <f t="shared" si="8"/>
        <v>WFOŚiGW 315/2007/76/OA/no/P</v>
      </c>
      <c r="AV23" s="243">
        <f t="shared" si="8"/>
        <v>222896</v>
      </c>
      <c r="AW23" s="244">
        <f t="shared" si="9"/>
        <v>134846</v>
      </c>
      <c r="AX23" s="243">
        <f t="shared" si="10"/>
        <v>12011.08</v>
      </c>
      <c r="AY23" s="245">
        <f t="shared" si="11"/>
        <v>146857.07999999999</v>
      </c>
      <c r="AZ23" s="244">
        <f t="shared" si="12"/>
        <v>111366</v>
      </c>
      <c r="BA23" s="243">
        <f t="shared" si="13"/>
        <v>8249.39</v>
      </c>
      <c r="BB23" s="245">
        <f t="shared" si="14"/>
        <v>119615.39</v>
      </c>
      <c r="BC23" s="244">
        <f t="shared" si="15"/>
        <v>87886</v>
      </c>
      <c r="BD23" s="243">
        <f t="shared" si="16"/>
        <v>5191.3900000000003</v>
      </c>
      <c r="BE23" s="245">
        <f t="shared" si="17"/>
        <v>93077.39</v>
      </c>
      <c r="BF23" s="244">
        <f t="shared" si="18"/>
        <v>64406</v>
      </c>
      <c r="BG23" s="243">
        <f t="shared" si="19"/>
        <v>2838.5</v>
      </c>
      <c r="BH23" s="245">
        <f t="shared" si="20"/>
        <v>67244.5</v>
      </c>
      <c r="BI23" s="244">
        <f t="shared" si="21"/>
        <v>40926</v>
      </c>
      <c r="BJ23" s="243">
        <f t="shared" si="22"/>
        <v>1190.01</v>
      </c>
      <c r="BK23" s="245">
        <f t="shared" si="23"/>
        <v>42116.01</v>
      </c>
      <c r="BL23" s="244">
        <f t="shared" si="24"/>
        <v>17446</v>
      </c>
      <c r="BM23" s="243">
        <f t="shared" si="25"/>
        <v>245.93</v>
      </c>
      <c r="BN23" s="245">
        <f t="shared" si="26"/>
        <v>17691.93</v>
      </c>
      <c r="BO23" s="244">
        <f t="shared" si="27"/>
        <v>0</v>
      </c>
      <c r="BP23" s="243">
        <f t="shared" si="28"/>
        <v>0</v>
      </c>
      <c r="BQ23" s="245">
        <f t="shared" si="29"/>
        <v>0</v>
      </c>
      <c r="BR23" s="244">
        <f t="shared" si="30"/>
        <v>0</v>
      </c>
      <c r="BS23" s="243">
        <f t="shared" si="31"/>
        <v>0</v>
      </c>
      <c r="BT23" s="245">
        <f t="shared" si="32"/>
        <v>0</v>
      </c>
      <c r="BU23" s="244">
        <f t="shared" si="33"/>
        <v>0</v>
      </c>
      <c r="BV23" s="243">
        <f t="shared" si="34"/>
        <v>0</v>
      </c>
      <c r="BW23" s="245">
        <f t="shared" si="35"/>
        <v>0</v>
      </c>
      <c r="BX23" s="244">
        <f t="shared" si="36"/>
        <v>0</v>
      </c>
      <c r="BY23" s="243">
        <f t="shared" si="37"/>
        <v>0</v>
      </c>
      <c r="BZ23" s="245">
        <f t="shared" si="38"/>
        <v>0</v>
      </c>
      <c r="CA23" s="243">
        <f t="shared" si="39"/>
        <v>0</v>
      </c>
      <c r="CB23" s="243">
        <f t="shared" si="40"/>
        <v>0</v>
      </c>
      <c r="CC23" s="245">
        <f t="shared" si="41"/>
        <v>0</v>
      </c>
      <c r="CD23" s="243">
        <f t="shared" si="42"/>
        <v>0</v>
      </c>
      <c r="CE23" s="243">
        <f t="shared" si="43"/>
        <v>0</v>
      </c>
      <c r="CF23" s="245">
        <f t="shared" si="44"/>
        <v>0</v>
      </c>
      <c r="CG23" s="243">
        <f t="shared" si="45"/>
        <v>0</v>
      </c>
      <c r="CH23" s="243">
        <f t="shared" si="46"/>
        <v>0</v>
      </c>
      <c r="CI23" s="245">
        <f t="shared" si="47"/>
        <v>0</v>
      </c>
      <c r="CJ23" s="243">
        <f t="shared" si="48"/>
        <v>0</v>
      </c>
      <c r="CK23" s="243">
        <f t="shared" si="49"/>
        <v>0</v>
      </c>
      <c r="CL23" s="245">
        <f t="shared" si="50"/>
        <v>0</v>
      </c>
      <c r="CM23" s="243">
        <f t="shared" si="51"/>
        <v>0</v>
      </c>
      <c r="CN23" s="243">
        <f t="shared" si="52"/>
        <v>0</v>
      </c>
      <c r="CO23" s="245">
        <f t="shared" si="53"/>
        <v>0</v>
      </c>
      <c r="CP23" s="243">
        <f t="shared" si="54"/>
        <v>0</v>
      </c>
      <c r="CQ23" s="243">
        <f t="shared" si="55"/>
        <v>0</v>
      </c>
      <c r="CR23" s="245">
        <f t="shared" si="56"/>
        <v>0</v>
      </c>
      <c r="CS23" s="243">
        <f t="shared" si="57"/>
        <v>0</v>
      </c>
      <c r="CT23" s="243">
        <f t="shared" si="58"/>
        <v>0</v>
      </c>
      <c r="CU23" s="245">
        <f t="shared" si="59"/>
        <v>0</v>
      </c>
      <c r="CV23" s="243">
        <f t="shared" si="60"/>
        <v>0</v>
      </c>
      <c r="CW23" s="243">
        <f t="shared" si="61"/>
        <v>0</v>
      </c>
      <c r="CX23" s="245">
        <f t="shared" si="62"/>
        <v>0</v>
      </c>
    </row>
    <row r="24" spans="1:102" ht="13.5">
      <c r="A24" s="236" t="s">
        <v>209</v>
      </c>
      <c r="B24" s="247">
        <v>141743.99</v>
      </c>
      <c r="C24" s="248"/>
      <c r="D24" s="248">
        <v>4252.32</v>
      </c>
      <c r="E24" s="238">
        <f t="shared" ref="E24:E29" si="64">G24+I24+K24+M24+O24+Q24+S24+U24+W24+Y24+AA24+AC24+AE24+AG24</f>
        <v>141743.99000000002</v>
      </c>
      <c r="F24" s="238">
        <f t="shared" si="63"/>
        <v>11326.98</v>
      </c>
      <c r="G24" s="248"/>
      <c r="H24" s="248">
        <v>4252.32</v>
      </c>
      <c r="I24" s="248"/>
      <c r="J24" s="249">
        <v>4252.32</v>
      </c>
      <c r="K24" s="238">
        <v>140342.70000000001</v>
      </c>
      <c r="L24" s="238">
        <v>2813</v>
      </c>
      <c r="M24" s="238">
        <v>1401.29</v>
      </c>
      <c r="N24" s="238">
        <v>9.34</v>
      </c>
      <c r="O24" s="239"/>
      <c r="P24" s="239"/>
      <c r="Q24" s="238"/>
      <c r="R24" s="238"/>
      <c r="S24" s="238"/>
      <c r="T24" s="238"/>
      <c r="U24" s="238"/>
      <c r="V24" s="239"/>
      <c r="W24" s="238"/>
      <c r="X24" s="238"/>
      <c r="Y24" s="240"/>
      <c r="Z24" s="239"/>
      <c r="AA24" s="238"/>
      <c r="AB24" s="241"/>
      <c r="AC24" s="238"/>
      <c r="AD24" s="241"/>
      <c r="AE24" s="238"/>
      <c r="AF24" s="241"/>
      <c r="AG24" s="238"/>
      <c r="AH24" s="241"/>
      <c r="AI24" s="238"/>
      <c r="AJ24" s="241"/>
      <c r="AK24" s="238"/>
      <c r="AL24" s="241"/>
      <c r="AM24" s="238"/>
      <c r="AN24" s="241"/>
      <c r="AO24" s="238"/>
      <c r="AP24" s="241"/>
      <c r="AQ24" s="238"/>
      <c r="AR24" s="241"/>
      <c r="AU24" s="242" t="str">
        <f t="shared" si="8"/>
        <v>WFOŚiGW 1302/2006/76/OA/po/P</v>
      </c>
      <c r="AV24" s="243">
        <f t="shared" si="8"/>
        <v>141743.99</v>
      </c>
      <c r="AW24" s="244">
        <f t="shared" si="9"/>
        <v>141743.99000000002</v>
      </c>
      <c r="AX24" s="243">
        <f t="shared" si="10"/>
        <v>7074.66</v>
      </c>
      <c r="AY24" s="245">
        <f t="shared" si="11"/>
        <v>148818.65000000002</v>
      </c>
      <c r="AZ24" s="244">
        <f t="shared" si="12"/>
        <v>141743.99000000002</v>
      </c>
      <c r="BA24" s="243">
        <f t="shared" si="13"/>
        <v>2822.34</v>
      </c>
      <c r="BB24" s="245">
        <f t="shared" si="14"/>
        <v>144566.33000000002</v>
      </c>
      <c r="BC24" s="244">
        <f t="shared" si="15"/>
        <v>1401.29</v>
      </c>
      <c r="BD24" s="243">
        <f t="shared" si="16"/>
        <v>9.34</v>
      </c>
      <c r="BE24" s="245">
        <f t="shared" si="17"/>
        <v>1410.6299999999999</v>
      </c>
      <c r="BF24" s="244">
        <f t="shared" si="18"/>
        <v>0</v>
      </c>
      <c r="BG24" s="243">
        <f t="shared" si="19"/>
        <v>0</v>
      </c>
      <c r="BH24" s="245">
        <f t="shared" si="20"/>
        <v>0</v>
      </c>
      <c r="BI24" s="244">
        <f t="shared" si="21"/>
        <v>0</v>
      </c>
      <c r="BJ24" s="243">
        <f t="shared" si="22"/>
        <v>0</v>
      </c>
      <c r="BK24" s="245">
        <f t="shared" si="23"/>
        <v>0</v>
      </c>
      <c r="BL24" s="244">
        <f t="shared" si="24"/>
        <v>0</v>
      </c>
      <c r="BM24" s="243">
        <f t="shared" si="25"/>
        <v>0</v>
      </c>
      <c r="BN24" s="245">
        <f t="shared" si="26"/>
        <v>0</v>
      </c>
      <c r="BO24" s="244">
        <f t="shared" si="27"/>
        <v>0</v>
      </c>
      <c r="BP24" s="243">
        <f t="shared" si="28"/>
        <v>0</v>
      </c>
      <c r="BQ24" s="245">
        <f t="shared" si="29"/>
        <v>0</v>
      </c>
      <c r="BR24" s="244">
        <f t="shared" si="30"/>
        <v>0</v>
      </c>
      <c r="BS24" s="243">
        <f t="shared" si="31"/>
        <v>0</v>
      </c>
      <c r="BT24" s="245">
        <f t="shared" si="32"/>
        <v>0</v>
      </c>
      <c r="BU24" s="244">
        <f t="shared" si="33"/>
        <v>0</v>
      </c>
      <c r="BV24" s="243">
        <f t="shared" si="34"/>
        <v>0</v>
      </c>
      <c r="BW24" s="245">
        <f t="shared" si="35"/>
        <v>0</v>
      </c>
      <c r="BX24" s="244">
        <f t="shared" si="36"/>
        <v>0</v>
      </c>
      <c r="BY24" s="243">
        <f t="shared" si="37"/>
        <v>0</v>
      </c>
      <c r="BZ24" s="245">
        <f t="shared" si="38"/>
        <v>0</v>
      </c>
      <c r="CA24" s="243">
        <f t="shared" si="39"/>
        <v>0</v>
      </c>
      <c r="CB24" s="243">
        <f t="shared" si="40"/>
        <v>0</v>
      </c>
      <c r="CC24" s="245">
        <f t="shared" si="41"/>
        <v>0</v>
      </c>
      <c r="CD24" s="243">
        <f t="shared" si="42"/>
        <v>0</v>
      </c>
      <c r="CE24" s="243">
        <f t="shared" si="43"/>
        <v>0</v>
      </c>
      <c r="CF24" s="245">
        <f t="shared" si="44"/>
        <v>0</v>
      </c>
      <c r="CG24" s="243">
        <f t="shared" si="45"/>
        <v>0</v>
      </c>
      <c r="CH24" s="243">
        <f t="shared" si="46"/>
        <v>0</v>
      </c>
      <c r="CI24" s="245">
        <f t="shared" si="47"/>
        <v>0</v>
      </c>
      <c r="CJ24" s="243">
        <f t="shared" si="48"/>
        <v>0</v>
      </c>
      <c r="CK24" s="243">
        <f t="shared" si="49"/>
        <v>0</v>
      </c>
      <c r="CL24" s="245">
        <f t="shared" si="50"/>
        <v>0</v>
      </c>
      <c r="CM24" s="243">
        <f t="shared" si="51"/>
        <v>0</v>
      </c>
      <c r="CN24" s="243">
        <f t="shared" si="52"/>
        <v>0</v>
      </c>
      <c r="CO24" s="245">
        <f t="shared" si="53"/>
        <v>0</v>
      </c>
      <c r="CP24" s="243">
        <f t="shared" si="54"/>
        <v>0</v>
      </c>
      <c r="CQ24" s="243">
        <f t="shared" si="55"/>
        <v>0</v>
      </c>
      <c r="CR24" s="245">
        <f t="shared" si="56"/>
        <v>0</v>
      </c>
      <c r="CS24" s="243">
        <f t="shared" si="57"/>
        <v>0</v>
      </c>
      <c r="CT24" s="243">
        <f t="shared" si="58"/>
        <v>0</v>
      </c>
      <c r="CU24" s="245">
        <f t="shared" si="59"/>
        <v>0</v>
      </c>
      <c r="CV24" s="243">
        <f t="shared" si="60"/>
        <v>0</v>
      </c>
      <c r="CW24" s="243">
        <f t="shared" si="61"/>
        <v>0</v>
      </c>
      <c r="CX24" s="245">
        <f t="shared" si="62"/>
        <v>0</v>
      </c>
    </row>
    <row r="25" spans="1:102" ht="12.75">
      <c r="A25" s="242" t="s">
        <v>261</v>
      </c>
      <c r="B25" s="237"/>
      <c r="C25" s="238"/>
      <c r="D25" s="238"/>
      <c r="E25" s="238">
        <f t="shared" si="64"/>
        <v>0</v>
      </c>
      <c r="F25" s="238">
        <f t="shared" si="63"/>
        <v>0</v>
      </c>
      <c r="G25" s="238"/>
      <c r="H25" s="238"/>
      <c r="I25" s="238"/>
      <c r="J25" s="238"/>
      <c r="K25" s="238"/>
      <c r="L25" s="239"/>
      <c r="M25" s="238"/>
      <c r="N25" s="238"/>
      <c r="O25" s="238"/>
      <c r="P25" s="238"/>
      <c r="Q25" s="239"/>
      <c r="R25" s="239"/>
      <c r="S25" s="238"/>
      <c r="T25" s="238"/>
      <c r="U25" s="238"/>
      <c r="V25" s="238"/>
      <c r="W25" s="238"/>
      <c r="X25" s="239"/>
      <c r="Y25" s="238"/>
      <c r="Z25" s="238"/>
      <c r="AA25" s="240"/>
      <c r="AB25" s="239"/>
      <c r="AC25" s="238"/>
      <c r="AD25" s="241"/>
      <c r="AE25" s="238"/>
      <c r="AF25" s="241"/>
      <c r="AG25" s="238"/>
      <c r="AH25" s="241"/>
      <c r="AI25" s="238"/>
      <c r="AJ25" s="241"/>
      <c r="AK25" s="238"/>
      <c r="AL25" s="241"/>
      <c r="AM25" s="238"/>
      <c r="AN25" s="241"/>
      <c r="AO25" s="238"/>
      <c r="AP25" s="241"/>
      <c r="AQ25" s="238"/>
      <c r="AR25" s="241"/>
      <c r="AU25" s="242" t="str">
        <f t="shared" si="8"/>
        <v xml:space="preserve"> -</v>
      </c>
      <c r="AV25" s="243"/>
      <c r="AW25" s="244"/>
      <c r="AX25" s="243"/>
      <c r="AY25" s="245"/>
      <c r="AZ25" s="244">
        <f t="shared" si="12"/>
        <v>0</v>
      </c>
      <c r="BA25" s="243">
        <f t="shared" si="13"/>
        <v>0</v>
      </c>
      <c r="BB25" s="245">
        <f t="shared" si="14"/>
        <v>0</v>
      </c>
      <c r="BC25" s="244">
        <f t="shared" si="15"/>
        <v>0</v>
      </c>
      <c r="BD25" s="243">
        <f t="shared" si="16"/>
        <v>0</v>
      </c>
      <c r="BE25" s="245">
        <f t="shared" si="17"/>
        <v>0</v>
      </c>
      <c r="BF25" s="244">
        <f t="shared" si="18"/>
        <v>0</v>
      </c>
      <c r="BG25" s="243">
        <f t="shared" si="19"/>
        <v>0</v>
      </c>
      <c r="BH25" s="245">
        <f t="shared" si="20"/>
        <v>0</v>
      </c>
      <c r="BI25" s="244">
        <f t="shared" si="21"/>
        <v>0</v>
      </c>
      <c r="BJ25" s="243">
        <f t="shared" si="22"/>
        <v>0</v>
      </c>
      <c r="BK25" s="245">
        <f t="shared" si="23"/>
        <v>0</v>
      </c>
      <c r="BL25" s="244">
        <f t="shared" si="24"/>
        <v>0</v>
      </c>
      <c r="BM25" s="243">
        <f t="shared" si="25"/>
        <v>0</v>
      </c>
      <c r="BN25" s="245">
        <f t="shared" si="26"/>
        <v>0</v>
      </c>
      <c r="BO25" s="244">
        <f t="shared" si="27"/>
        <v>0</v>
      </c>
      <c r="BP25" s="243">
        <f t="shared" si="28"/>
        <v>0</v>
      </c>
      <c r="BQ25" s="245">
        <f t="shared" si="29"/>
        <v>0</v>
      </c>
      <c r="BR25" s="244">
        <f t="shared" si="30"/>
        <v>0</v>
      </c>
      <c r="BS25" s="243">
        <f t="shared" si="31"/>
        <v>0</v>
      </c>
      <c r="BT25" s="245">
        <f t="shared" si="32"/>
        <v>0</v>
      </c>
      <c r="BU25" s="244">
        <f t="shared" si="33"/>
        <v>0</v>
      </c>
      <c r="BV25" s="243">
        <f t="shared" si="34"/>
        <v>0</v>
      </c>
      <c r="BW25" s="245">
        <f t="shared" si="35"/>
        <v>0</v>
      </c>
      <c r="BX25" s="244">
        <f t="shared" si="36"/>
        <v>0</v>
      </c>
      <c r="BY25" s="243">
        <f t="shared" si="37"/>
        <v>0</v>
      </c>
      <c r="BZ25" s="245">
        <f t="shared" si="38"/>
        <v>0</v>
      </c>
      <c r="CA25" s="243">
        <f t="shared" si="39"/>
        <v>0</v>
      </c>
      <c r="CB25" s="243">
        <f t="shared" si="40"/>
        <v>0</v>
      </c>
      <c r="CC25" s="245">
        <f t="shared" si="41"/>
        <v>0</v>
      </c>
      <c r="CD25" s="243">
        <f t="shared" si="42"/>
        <v>0</v>
      </c>
      <c r="CE25" s="243">
        <f t="shared" si="43"/>
        <v>0</v>
      </c>
      <c r="CF25" s="245">
        <f t="shared" si="44"/>
        <v>0</v>
      </c>
      <c r="CG25" s="243">
        <f t="shared" si="45"/>
        <v>0</v>
      </c>
      <c r="CH25" s="243">
        <f t="shared" si="46"/>
        <v>0</v>
      </c>
      <c r="CI25" s="245">
        <f t="shared" si="47"/>
        <v>0</v>
      </c>
      <c r="CJ25" s="243">
        <f t="shared" si="48"/>
        <v>0</v>
      </c>
      <c r="CK25" s="243">
        <f t="shared" si="49"/>
        <v>0</v>
      </c>
      <c r="CL25" s="245">
        <f t="shared" si="50"/>
        <v>0</v>
      </c>
      <c r="CM25" s="243">
        <f t="shared" si="51"/>
        <v>0</v>
      </c>
      <c r="CN25" s="243">
        <f t="shared" si="52"/>
        <v>0</v>
      </c>
      <c r="CO25" s="245">
        <f t="shared" si="53"/>
        <v>0</v>
      </c>
      <c r="CP25" s="243">
        <f t="shared" si="54"/>
        <v>0</v>
      </c>
      <c r="CQ25" s="243">
        <f t="shared" si="55"/>
        <v>0</v>
      </c>
      <c r="CR25" s="245">
        <f t="shared" si="56"/>
        <v>0</v>
      </c>
      <c r="CS25" s="243">
        <f t="shared" si="57"/>
        <v>0</v>
      </c>
      <c r="CT25" s="243">
        <f t="shared" si="58"/>
        <v>0</v>
      </c>
      <c r="CU25" s="245">
        <f t="shared" si="59"/>
        <v>0</v>
      </c>
      <c r="CV25" s="243">
        <f t="shared" si="60"/>
        <v>0</v>
      </c>
      <c r="CW25" s="243">
        <f t="shared" si="61"/>
        <v>0</v>
      </c>
      <c r="CX25" s="245">
        <f t="shared" si="62"/>
        <v>0</v>
      </c>
    </row>
    <row r="26" spans="1:102" ht="12.75">
      <c r="A26" s="242" t="s">
        <v>261</v>
      </c>
      <c r="B26" s="247"/>
      <c r="C26" s="248"/>
      <c r="D26" s="248"/>
      <c r="E26" s="238">
        <f t="shared" si="64"/>
        <v>0</v>
      </c>
      <c r="F26" s="238">
        <f t="shared" si="63"/>
        <v>0</v>
      </c>
      <c r="G26" s="248"/>
      <c r="H26" s="248"/>
      <c r="I26" s="248"/>
      <c r="J26" s="248"/>
      <c r="K26" s="248"/>
      <c r="L26" s="249"/>
      <c r="M26" s="238"/>
      <c r="N26" s="238"/>
      <c r="O26" s="238"/>
      <c r="P26" s="238"/>
      <c r="Q26" s="239"/>
      <c r="R26" s="239"/>
      <c r="S26" s="238"/>
      <c r="T26" s="238"/>
      <c r="U26" s="238"/>
      <c r="V26" s="238"/>
      <c r="W26" s="238"/>
      <c r="X26" s="239"/>
      <c r="Y26" s="238"/>
      <c r="Z26" s="238"/>
      <c r="AA26" s="240"/>
      <c r="AB26" s="239"/>
      <c r="AC26" s="238"/>
      <c r="AD26" s="241"/>
      <c r="AE26" s="238"/>
      <c r="AF26" s="241"/>
      <c r="AG26" s="238"/>
      <c r="AH26" s="241"/>
      <c r="AI26" s="238"/>
      <c r="AJ26" s="241"/>
      <c r="AK26" s="238"/>
      <c r="AL26" s="241"/>
      <c r="AM26" s="238"/>
      <c r="AN26" s="241"/>
      <c r="AO26" s="238"/>
      <c r="AP26" s="241"/>
      <c r="AQ26" s="238"/>
      <c r="AR26" s="241"/>
      <c r="AU26" s="242" t="str">
        <f t="shared" si="8"/>
        <v xml:space="preserve"> -</v>
      </c>
      <c r="AV26" s="243"/>
      <c r="AW26" s="244"/>
      <c r="AX26" s="243"/>
      <c r="AY26" s="245"/>
      <c r="AZ26" s="244">
        <f t="shared" si="12"/>
        <v>0</v>
      </c>
      <c r="BA26" s="243">
        <f t="shared" si="13"/>
        <v>0</v>
      </c>
      <c r="BB26" s="245">
        <f t="shared" si="14"/>
        <v>0</v>
      </c>
      <c r="BC26" s="244">
        <f t="shared" si="15"/>
        <v>0</v>
      </c>
      <c r="BD26" s="243">
        <f t="shared" si="16"/>
        <v>0</v>
      </c>
      <c r="BE26" s="245">
        <f t="shared" si="17"/>
        <v>0</v>
      </c>
      <c r="BF26" s="244">
        <f t="shared" si="18"/>
        <v>0</v>
      </c>
      <c r="BG26" s="243">
        <f t="shared" si="19"/>
        <v>0</v>
      </c>
      <c r="BH26" s="245">
        <f t="shared" si="20"/>
        <v>0</v>
      </c>
      <c r="BI26" s="244">
        <f t="shared" si="21"/>
        <v>0</v>
      </c>
      <c r="BJ26" s="243">
        <f t="shared" si="22"/>
        <v>0</v>
      </c>
      <c r="BK26" s="245">
        <f t="shared" si="23"/>
        <v>0</v>
      </c>
      <c r="BL26" s="244">
        <f t="shared" si="24"/>
        <v>0</v>
      </c>
      <c r="BM26" s="243">
        <f t="shared" si="25"/>
        <v>0</v>
      </c>
      <c r="BN26" s="245">
        <f t="shared" si="26"/>
        <v>0</v>
      </c>
      <c r="BO26" s="244">
        <f t="shared" si="27"/>
        <v>0</v>
      </c>
      <c r="BP26" s="243">
        <f t="shared" si="28"/>
        <v>0</v>
      </c>
      <c r="BQ26" s="245">
        <f t="shared" si="29"/>
        <v>0</v>
      </c>
      <c r="BR26" s="244">
        <f t="shared" si="30"/>
        <v>0</v>
      </c>
      <c r="BS26" s="243">
        <f t="shared" si="31"/>
        <v>0</v>
      </c>
      <c r="BT26" s="245">
        <f t="shared" si="32"/>
        <v>0</v>
      </c>
      <c r="BU26" s="244">
        <f t="shared" si="33"/>
        <v>0</v>
      </c>
      <c r="BV26" s="243">
        <f t="shared" si="34"/>
        <v>0</v>
      </c>
      <c r="BW26" s="245">
        <f t="shared" si="35"/>
        <v>0</v>
      </c>
      <c r="BX26" s="244">
        <f t="shared" si="36"/>
        <v>0</v>
      </c>
      <c r="BY26" s="243">
        <f t="shared" si="37"/>
        <v>0</v>
      </c>
      <c r="BZ26" s="245">
        <f t="shared" si="38"/>
        <v>0</v>
      </c>
      <c r="CA26" s="243">
        <f t="shared" si="39"/>
        <v>0</v>
      </c>
      <c r="CB26" s="243">
        <f t="shared" si="40"/>
        <v>0</v>
      </c>
      <c r="CC26" s="245">
        <f t="shared" si="41"/>
        <v>0</v>
      </c>
      <c r="CD26" s="243">
        <f t="shared" si="42"/>
        <v>0</v>
      </c>
      <c r="CE26" s="243">
        <f t="shared" si="43"/>
        <v>0</v>
      </c>
      <c r="CF26" s="245">
        <f t="shared" si="44"/>
        <v>0</v>
      </c>
      <c r="CG26" s="243">
        <f t="shared" si="45"/>
        <v>0</v>
      </c>
      <c r="CH26" s="243">
        <f t="shared" si="46"/>
        <v>0</v>
      </c>
      <c r="CI26" s="245">
        <f t="shared" si="47"/>
        <v>0</v>
      </c>
      <c r="CJ26" s="243">
        <f t="shared" si="48"/>
        <v>0</v>
      </c>
      <c r="CK26" s="243">
        <f t="shared" si="49"/>
        <v>0</v>
      </c>
      <c r="CL26" s="245">
        <f t="shared" si="50"/>
        <v>0</v>
      </c>
      <c r="CM26" s="243">
        <f t="shared" si="51"/>
        <v>0</v>
      </c>
      <c r="CN26" s="243">
        <f t="shared" si="52"/>
        <v>0</v>
      </c>
      <c r="CO26" s="245">
        <f t="shared" si="53"/>
        <v>0</v>
      </c>
      <c r="CP26" s="243">
        <f t="shared" si="54"/>
        <v>0</v>
      </c>
      <c r="CQ26" s="243">
        <f t="shared" si="55"/>
        <v>0</v>
      </c>
      <c r="CR26" s="245">
        <f t="shared" si="56"/>
        <v>0</v>
      </c>
      <c r="CS26" s="243">
        <f t="shared" si="57"/>
        <v>0</v>
      </c>
      <c r="CT26" s="243">
        <f t="shared" si="58"/>
        <v>0</v>
      </c>
      <c r="CU26" s="245">
        <f t="shared" si="59"/>
        <v>0</v>
      </c>
      <c r="CV26" s="243">
        <f t="shared" si="60"/>
        <v>0</v>
      </c>
      <c r="CW26" s="243">
        <f t="shared" si="61"/>
        <v>0</v>
      </c>
      <c r="CX26" s="245">
        <f t="shared" si="62"/>
        <v>0</v>
      </c>
    </row>
    <row r="27" spans="1:102" ht="12.75">
      <c r="A27" s="242" t="s">
        <v>326</v>
      </c>
      <c r="B27" s="290"/>
      <c r="C27" s="248"/>
      <c r="D27" s="248"/>
      <c r="E27" s="238">
        <f t="shared" si="64"/>
        <v>0</v>
      </c>
      <c r="F27" s="238">
        <f t="shared" si="63"/>
        <v>0</v>
      </c>
      <c r="G27" s="248"/>
      <c r="H27" s="248"/>
      <c r="I27" s="248"/>
      <c r="J27" s="248"/>
      <c r="K27" s="248">
        <v>0</v>
      </c>
      <c r="L27" s="249">
        <f>'pożyczka 2013'!$Y$15</f>
        <v>0</v>
      </c>
      <c r="M27" s="248">
        <v>0</v>
      </c>
      <c r="N27" s="249">
        <f>'pożyczka 2013'!$Y$27</f>
        <v>0</v>
      </c>
      <c r="O27" s="248">
        <v>0</v>
      </c>
      <c r="P27" s="249">
        <f>'pożyczka 2013'!$Y$39</f>
        <v>0</v>
      </c>
      <c r="Q27" s="248">
        <v>0</v>
      </c>
      <c r="R27" s="249">
        <f>'pożyczka 2013'!$Y$51</f>
        <v>0</v>
      </c>
      <c r="S27" s="248">
        <v>0</v>
      </c>
      <c r="T27" s="249">
        <f>'pożyczka 2013'!$Y$63</f>
        <v>0</v>
      </c>
      <c r="U27" s="248">
        <v>0</v>
      </c>
      <c r="V27" s="249">
        <f>'pożyczka 2013'!$Y$75</f>
        <v>0</v>
      </c>
      <c r="W27" s="248">
        <v>0</v>
      </c>
      <c r="X27" s="249">
        <f>'pożyczka 2013'!$Y$87</f>
        <v>0</v>
      </c>
      <c r="Y27" s="248">
        <v>0</v>
      </c>
      <c r="Z27" s="249">
        <f>'pożyczka 2013'!$Y$99</f>
        <v>0</v>
      </c>
      <c r="AA27" s="248">
        <v>0</v>
      </c>
      <c r="AB27" s="249">
        <f>'pożyczka 2013'!$Y$111</f>
        <v>0</v>
      </c>
      <c r="AC27" s="248">
        <v>0</v>
      </c>
      <c r="AD27" s="249">
        <f>'pożyczka 2013'!$Y$123</f>
        <v>0</v>
      </c>
      <c r="AE27" s="238">
        <v>0</v>
      </c>
      <c r="AF27" s="249">
        <f>'pożyczka 2013'!$Y$135</f>
        <v>0</v>
      </c>
      <c r="AG27" s="238">
        <v>0</v>
      </c>
      <c r="AH27" s="248">
        <f>'pożyczka 2013'!$Y$147</f>
        <v>0</v>
      </c>
      <c r="AI27" s="238">
        <v>0</v>
      </c>
      <c r="AJ27" s="248">
        <v>0</v>
      </c>
      <c r="AK27" s="238">
        <v>0</v>
      </c>
      <c r="AL27" s="248">
        <v>0</v>
      </c>
      <c r="AM27" s="238">
        <v>0</v>
      </c>
      <c r="AN27" s="248">
        <v>0</v>
      </c>
      <c r="AO27" s="238">
        <v>0</v>
      </c>
      <c r="AP27" s="248">
        <v>0</v>
      </c>
      <c r="AQ27" s="238">
        <v>0</v>
      </c>
      <c r="AR27" s="248">
        <v>0</v>
      </c>
      <c r="AU27" s="242" t="str">
        <f t="shared" si="8"/>
        <v>pożyczka 2013</v>
      </c>
      <c r="AV27" s="243"/>
      <c r="AW27" s="613"/>
      <c r="AX27" s="614"/>
      <c r="AY27" s="615"/>
      <c r="AZ27" s="244">
        <f t="shared" si="12"/>
        <v>0</v>
      </c>
      <c r="BA27" s="243">
        <f t="shared" si="13"/>
        <v>0</v>
      </c>
      <c r="BB27" s="245">
        <f t="shared" si="14"/>
        <v>0</v>
      </c>
      <c r="BC27" s="244">
        <f t="shared" si="15"/>
        <v>0</v>
      </c>
      <c r="BD27" s="243">
        <f t="shared" si="16"/>
        <v>0</v>
      </c>
      <c r="BE27" s="245">
        <f t="shared" si="17"/>
        <v>0</v>
      </c>
      <c r="BF27" s="244">
        <f t="shared" si="18"/>
        <v>0</v>
      </c>
      <c r="BG27" s="243">
        <f t="shared" si="19"/>
        <v>0</v>
      </c>
      <c r="BH27" s="245">
        <f t="shared" si="20"/>
        <v>0</v>
      </c>
      <c r="BI27" s="244">
        <f t="shared" si="21"/>
        <v>0</v>
      </c>
      <c r="BJ27" s="243">
        <f t="shared" si="22"/>
        <v>0</v>
      </c>
      <c r="BK27" s="245">
        <f t="shared" si="23"/>
        <v>0</v>
      </c>
      <c r="BL27" s="244">
        <f t="shared" si="24"/>
        <v>0</v>
      </c>
      <c r="BM27" s="243">
        <f t="shared" si="25"/>
        <v>0</v>
      </c>
      <c r="BN27" s="245">
        <f t="shared" si="26"/>
        <v>0</v>
      </c>
      <c r="BO27" s="244">
        <f t="shared" si="27"/>
        <v>0</v>
      </c>
      <c r="BP27" s="243">
        <f t="shared" si="28"/>
        <v>0</v>
      </c>
      <c r="BQ27" s="245">
        <f t="shared" si="29"/>
        <v>0</v>
      </c>
      <c r="BR27" s="244">
        <f t="shared" si="30"/>
        <v>0</v>
      </c>
      <c r="BS27" s="243">
        <f t="shared" si="31"/>
        <v>0</v>
      </c>
      <c r="BT27" s="245">
        <f t="shared" si="32"/>
        <v>0</v>
      </c>
      <c r="BU27" s="244">
        <f t="shared" si="33"/>
        <v>0</v>
      </c>
      <c r="BV27" s="243">
        <f t="shared" si="34"/>
        <v>0</v>
      </c>
      <c r="BW27" s="245">
        <f t="shared" si="35"/>
        <v>0</v>
      </c>
      <c r="BX27" s="244">
        <f t="shared" si="36"/>
        <v>0</v>
      </c>
      <c r="BY27" s="243">
        <f t="shared" si="37"/>
        <v>0</v>
      </c>
      <c r="BZ27" s="245">
        <f t="shared" si="38"/>
        <v>0</v>
      </c>
      <c r="CA27" s="243">
        <f t="shared" si="39"/>
        <v>0</v>
      </c>
      <c r="CB27" s="243">
        <f t="shared" si="40"/>
        <v>0</v>
      </c>
      <c r="CC27" s="245">
        <f t="shared" si="41"/>
        <v>0</v>
      </c>
      <c r="CD27" s="243">
        <f t="shared" si="42"/>
        <v>0</v>
      </c>
      <c r="CE27" s="243">
        <f t="shared" si="43"/>
        <v>0</v>
      </c>
      <c r="CF27" s="245">
        <f t="shared" ref="CF27" si="65">SUM(CD27,CE27)</f>
        <v>0</v>
      </c>
      <c r="CG27" s="243">
        <f>SUM($AG27)</f>
        <v>0</v>
      </c>
      <c r="CH27" s="243">
        <f>SUM($AH27)</f>
        <v>0</v>
      </c>
      <c r="CI27" s="245">
        <f t="shared" si="47"/>
        <v>0</v>
      </c>
      <c r="CJ27" s="243">
        <v>0</v>
      </c>
      <c r="CK27" s="243">
        <v>0</v>
      </c>
      <c r="CL27" s="245">
        <f t="shared" si="50"/>
        <v>0</v>
      </c>
      <c r="CM27" s="243">
        <v>0</v>
      </c>
      <c r="CN27" s="243">
        <v>0</v>
      </c>
      <c r="CO27" s="245">
        <f t="shared" si="53"/>
        <v>0</v>
      </c>
      <c r="CP27" s="243">
        <v>0</v>
      </c>
      <c r="CQ27" s="243">
        <v>0</v>
      </c>
      <c r="CR27" s="245">
        <f t="shared" si="56"/>
        <v>0</v>
      </c>
      <c r="CS27" s="243">
        <v>0</v>
      </c>
      <c r="CT27" s="243">
        <v>0</v>
      </c>
      <c r="CU27" s="245">
        <f t="shared" si="59"/>
        <v>0</v>
      </c>
      <c r="CV27" s="243">
        <v>0</v>
      </c>
      <c r="CW27" s="243">
        <v>0</v>
      </c>
      <c r="CX27" s="245">
        <f t="shared" si="62"/>
        <v>0</v>
      </c>
    </row>
    <row r="28" spans="1:102" ht="12.75">
      <c r="A28" s="607" t="s">
        <v>327</v>
      </c>
      <c r="B28" s="290"/>
      <c r="C28" s="248"/>
      <c r="D28" s="248"/>
      <c r="E28" s="238">
        <f t="shared" si="64"/>
        <v>4941761</v>
      </c>
      <c r="F28" s="238">
        <f t="shared" si="63"/>
        <v>1677727.53</v>
      </c>
      <c r="G28" s="248"/>
      <c r="H28" s="248"/>
      <c r="I28" s="248"/>
      <c r="J28" s="248"/>
      <c r="K28" s="248"/>
      <c r="L28" s="249"/>
      <c r="M28" s="248">
        <v>0</v>
      </c>
      <c r="N28" s="249">
        <f>'pożyczka 2014'!$Y$27</f>
        <v>261464.03999999992</v>
      </c>
      <c r="O28" s="248">
        <f>'pożyczka 2014'!P38</f>
        <v>494177</v>
      </c>
      <c r="P28" s="249">
        <f>'pożyczka 2014'!$Y$39</f>
        <v>259285.16999999993</v>
      </c>
      <c r="Q28" s="248">
        <f>'pożyczka 2014'!P50</f>
        <v>494176</v>
      </c>
      <c r="R28" s="249">
        <f>'pożyczka 2014'!$Y$51</f>
        <v>233138.73999999996</v>
      </c>
      <c r="S28" s="248">
        <f>'pożyczka 2014'!P62</f>
        <v>494176</v>
      </c>
      <c r="T28" s="249">
        <f>'pożyczka 2014'!$Y$63</f>
        <v>206992.41</v>
      </c>
      <c r="U28" s="248">
        <f>'pożyczka 2014'!P74</f>
        <v>494176</v>
      </c>
      <c r="V28" s="249">
        <f>'pożyczka 2014'!$Y$75</f>
        <v>180845.97000000006</v>
      </c>
      <c r="W28" s="248">
        <f>'pożyczka 2014'!P86</f>
        <v>494176</v>
      </c>
      <c r="X28" s="249">
        <f>'pożyczka 2014'!$Y$87</f>
        <v>154699.52999999997</v>
      </c>
      <c r="Y28" s="248">
        <f>'pożyczka 2014'!P98</f>
        <v>494176</v>
      </c>
      <c r="Z28" s="249">
        <f>'pożyczka 2014'!$Y$99</f>
        <v>128553.1</v>
      </c>
      <c r="AA28" s="248">
        <f>'pożyczka 2014'!P110</f>
        <v>494176</v>
      </c>
      <c r="AB28" s="249">
        <f>'pożyczka 2014'!$Y$111</f>
        <v>102406.77</v>
      </c>
      <c r="AC28" s="248">
        <f>'pożyczka 2014'!P122</f>
        <v>494176</v>
      </c>
      <c r="AD28" s="249">
        <f>'pożyczka 2014'!$Y$123</f>
        <v>76260.329999999987</v>
      </c>
      <c r="AE28" s="248">
        <f>'pożyczka 2014'!P134</f>
        <v>494176</v>
      </c>
      <c r="AF28" s="249">
        <f>'pożyczka 2014'!$Y$135</f>
        <v>50113.899999999987</v>
      </c>
      <c r="AG28" s="238">
        <f>'pożyczka 2014'!P146</f>
        <v>494176</v>
      </c>
      <c r="AH28" s="248">
        <f>'pożyczka 2014'!$Y$147</f>
        <v>23967.569999999992</v>
      </c>
      <c r="AI28" s="238">
        <v>0</v>
      </c>
      <c r="AJ28" s="248">
        <v>0</v>
      </c>
      <c r="AK28" s="238">
        <v>0</v>
      </c>
      <c r="AL28" s="248">
        <v>0</v>
      </c>
      <c r="AM28" s="238">
        <v>0</v>
      </c>
      <c r="AN28" s="248">
        <v>0</v>
      </c>
      <c r="AO28" s="238">
        <v>0</v>
      </c>
      <c r="AP28" s="248">
        <v>0</v>
      </c>
      <c r="AQ28" s="238">
        <v>0</v>
      </c>
      <c r="AR28" s="248">
        <v>0</v>
      </c>
      <c r="AU28" s="607" t="str">
        <f t="shared" si="8"/>
        <v>pożyczka 2014</v>
      </c>
      <c r="AV28" s="608"/>
      <c r="AW28" s="616"/>
      <c r="AX28" s="617"/>
      <c r="AY28" s="618"/>
      <c r="AZ28" s="613"/>
      <c r="BA28" s="614"/>
      <c r="BB28" s="615"/>
      <c r="BC28" s="244">
        <f t="shared" si="15"/>
        <v>4941761</v>
      </c>
      <c r="BD28" s="243">
        <f t="shared" si="16"/>
        <v>1677727.53</v>
      </c>
      <c r="BE28" s="245">
        <f t="shared" ref="BE28" si="66">SUM(BC28,BD28)</f>
        <v>6619488.5300000003</v>
      </c>
      <c r="BF28" s="244">
        <f t="shared" si="18"/>
        <v>4941761</v>
      </c>
      <c r="BG28" s="243">
        <f t="shared" si="19"/>
        <v>1416263.4900000002</v>
      </c>
      <c r="BH28" s="245">
        <f t="shared" ref="BH28" si="67">SUM(BF28,BG28)</f>
        <v>6358024.4900000002</v>
      </c>
      <c r="BI28" s="244">
        <f t="shared" si="21"/>
        <v>4447584</v>
      </c>
      <c r="BJ28" s="243">
        <f t="shared" si="22"/>
        <v>1156978.3199999998</v>
      </c>
      <c r="BK28" s="245">
        <f t="shared" ref="BK28" si="68">SUM(BI28,BJ28)</f>
        <v>5604562.3200000003</v>
      </c>
      <c r="BL28" s="244">
        <f t="shared" si="24"/>
        <v>3953408</v>
      </c>
      <c r="BM28" s="243">
        <f t="shared" si="25"/>
        <v>923839.58</v>
      </c>
      <c r="BN28" s="245">
        <f t="shared" ref="BN28" si="69">SUM(BL28,BM28)</f>
        <v>4877247.58</v>
      </c>
      <c r="BO28" s="244">
        <f t="shared" si="27"/>
        <v>3459232</v>
      </c>
      <c r="BP28" s="243">
        <f t="shared" si="28"/>
        <v>716847.16999999993</v>
      </c>
      <c r="BQ28" s="245">
        <f t="shared" ref="BQ28" si="70">SUM(BO28,BP28)</f>
        <v>4176079.17</v>
      </c>
      <c r="BR28" s="244">
        <f t="shared" si="30"/>
        <v>2965056</v>
      </c>
      <c r="BS28" s="243">
        <f t="shared" si="31"/>
        <v>536001.19999999995</v>
      </c>
      <c r="BT28" s="245">
        <f t="shared" ref="BT28" si="71">SUM(BR28,BS28)</f>
        <v>3501057.2</v>
      </c>
      <c r="BU28" s="244">
        <f t="shared" si="33"/>
        <v>2470880</v>
      </c>
      <c r="BV28" s="243">
        <f t="shared" si="34"/>
        <v>381301.66999999993</v>
      </c>
      <c r="BW28" s="245">
        <f t="shared" ref="BW28" si="72">SUM(BU28,BV28)</f>
        <v>2852181.67</v>
      </c>
      <c r="BX28" s="244">
        <f t="shared" si="36"/>
        <v>1976704</v>
      </c>
      <c r="BY28" s="243">
        <f t="shared" si="37"/>
        <v>252748.56999999995</v>
      </c>
      <c r="BZ28" s="245">
        <f t="shared" ref="BZ28" si="73">SUM(BX28,BY28)</f>
        <v>2229452.5699999998</v>
      </c>
      <c r="CA28" s="243">
        <f t="shared" si="39"/>
        <v>1482528</v>
      </c>
      <c r="CB28" s="243">
        <f t="shared" si="40"/>
        <v>150341.79999999999</v>
      </c>
      <c r="CC28" s="245">
        <f t="shared" ref="CC28" si="74">SUM(CA28,CB28)</f>
        <v>1632869.8</v>
      </c>
      <c r="CD28" s="243">
        <f t="shared" si="42"/>
        <v>988352</v>
      </c>
      <c r="CE28" s="243">
        <f t="shared" si="43"/>
        <v>74081.469999999972</v>
      </c>
      <c r="CF28" s="245">
        <f t="shared" ref="CF28" si="75">SUM(CD28,CE28)</f>
        <v>1062433.47</v>
      </c>
      <c r="CG28" s="243">
        <f>SUM($AG28)</f>
        <v>494176</v>
      </c>
      <c r="CH28" s="243">
        <f>SUM($AH28)</f>
        <v>23967.569999999992</v>
      </c>
      <c r="CI28" s="245">
        <f t="shared" si="47"/>
        <v>518143.57</v>
      </c>
      <c r="CJ28" s="243">
        <v>0</v>
      </c>
      <c r="CK28" s="243">
        <v>0</v>
      </c>
      <c r="CL28" s="245">
        <f t="shared" si="50"/>
        <v>0</v>
      </c>
      <c r="CM28" s="243">
        <v>0</v>
      </c>
      <c r="CN28" s="243">
        <v>0</v>
      </c>
      <c r="CO28" s="245">
        <f t="shared" si="53"/>
        <v>0</v>
      </c>
      <c r="CP28" s="243">
        <v>0</v>
      </c>
      <c r="CQ28" s="243">
        <v>0</v>
      </c>
      <c r="CR28" s="245">
        <f t="shared" si="56"/>
        <v>0</v>
      </c>
      <c r="CS28" s="243">
        <v>0</v>
      </c>
      <c r="CT28" s="243">
        <v>0</v>
      </c>
      <c r="CU28" s="245">
        <f t="shared" si="59"/>
        <v>0</v>
      </c>
      <c r="CV28" s="243">
        <v>0</v>
      </c>
      <c r="CW28" s="243">
        <v>0</v>
      </c>
      <c r="CX28" s="245">
        <f t="shared" si="62"/>
        <v>0</v>
      </c>
    </row>
    <row r="29" spans="1:102" ht="12.75">
      <c r="A29" s="607" t="s">
        <v>328</v>
      </c>
      <c r="B29" s="290"/>
      <c r="C29" s="248"/>
      <c r="D29" s="248"/>
      <c r="E29" s="238">
        <f t="shared" si="64"/>
        <v>0</v>
      </c>
      <c r="F29" s="238">
        <f t="shared" si="63"/>
        <v>0</v>
      </c>
      <c r="G29" s="248"/>
      <c r="H29" s="248"/>
      <c r="I29" s="248"/>
      <c r="J29" s="248"/>
      <c r="K29" s="248"/>
      <c r="L29" s="249"/>
      <c r="M29" s="248"/>
      <c r="N29" s="249"/>
      <c r="O29" s="248">
        <v>0</v>
      </c>
      <c r="P29" s="249">
        <f>'pożyczka 2015'!$Y$39</f>
        <v>0</v>
      </c>
      <c r="Q29" s="248">
        <v>0</v>
      </c>
      <c r="R29" s="249">
        <f>'pożyczka 2015'!$Y$51</f>
        <v>0</v>
      </c>
      <c r="S29" s="248">
        <v>0</v>
      </c>
      <c r="T29" s="249">
        <f>'pożyczka 2015'!$Y$63</f>
        <v>0</v>
      </c>
      <c r="U29" s="248">
        <v>0</v>
      </c>
      <c r="V29" s="249">
        <f>'pożyczka 2015'!$Y$75</f>
        <v>0</v>
      </c>
      <c r="W29" s="248">
        <v>0</v>
      </c>
      <c r="X29" s="249">
        <f>'pożyczka 2015'!$Y$87</f>
        <v>0</v>
      </c>
      <c r="Y29" s="248">
        <v>0</v>
      </c>
      <c r="Z29" s="249">
        <f>'pożyczka 2015'!$Y$99</f>
        <v>0</v>
      </c>
      <c r="AA29" s="248">
        <v>0</v>
      </c>
      <c r="AB29" s="249">
        <f>'pożyczka 2015'!$Y$111</f>
        <v>0</v>
      </c>
      <c r="AC29" s="248">
        <v>0</v>
      </c>
      <c r="AD29" s="249">
        <f>'pożyczka 2015'!$Y$123</f>
        <v>0</v>
      </c>
      <c r="AE29" s="248">
        <v>0</v>
      </c>
      <c r="AF29" s="249">
        <f>'pożyczka 2015'!$Y$135</f>
        <v>0</v>
      </c>
      <c r="AG29" s="248">
        <v>0</v>
      </c>
      <c r="AH29" s="238">
        <f>'pożyczka 2015'!$Y$147</f>
        <v>0</v>
      </c>
      <c r="AI29" s="248">
        <v>0</v>
      </c>
      <c r="AJ29" s="238">
        <v>0</v>
      </c>
      <c r="AK29" s="248">
        <v>0</v>
      </c>
      <c r="AL29" s="238">
        <v>0</v>
      </c>
      <c r="AM29" s="248">
        <v>0</v>
      </c>
      <c r="AN29" s="238">
        <v>0</v>
      </c>
      <c r="AO29" s="248">
        <v>0</v>
      </c>
      <c r="AP29" s="238">
        <v>0</v>
      </c>
      <c r="AQ29" s="248">
        <v>0</v>
      </c>
      <c r="AR29" s="238">
        <v>0</v>
      </c>
      <c r="AU29" s="607" t="str">
        <f>A29</f>
        <v>pożyczka 2015</v>
      </c>
      <c r="AV29" s="608"/>
      <c r="AW29" s="619"/>
      <c r="AX29" s="620"/>
      <c r="AY29" s="621"/>
      <c r="AZ29" s="619"/>
      <c r="BA29" s="620"/>
      <c r="BB29" s="621"/>
      <c r="BC29" s="613"/>
      <c r="BD29" s="614"/>
      <c r="BE29" s="615"/>
      <c r="BF29" s="244">
        <f t="shared" si="18"/>
        <v>0</v>
      </c>
      <c r="BG29" s="243">
        <f t="shared" si="19"/>
        <v>0</v>
      </c>
      <c r="BH29" s="245">
        <f>SUM(BF29,BG29)</f>
        <v>0</v>
      </c>
      <c r="BI29" s="244">
        <f t="shared" si="21"/>
        <v>0</v>
      </c>
      <c r="BJ29" s="243">
        <f t="shared" si="22"/>
        <v>0</v>
      </c>
      <c r="BK29" s="245">
        <f>SUM(BI29,BJ29)</f>
        <v>0</v>
      </c>
      <c r="BL29" s="244">
        <f t="shared" si="24"/>
        <v>0</v>
      </c>
      <c r="BM29" s="243">
        <f t="shared" si="25"/>
        <v>0</v>
      </c>
      <c r="BN29" s="245">
        <f>SUM(BL29,BM29)</f>
        <v>0</v>
      </c>
      <c r="BO29" s="244">
        <f t="shared" si="27"/>
        <v>0</v>
      </c>
      <c r="BP29" s="243">
        <f t="shared" si="28"/>
        <v>0</v>
      </c>
      <c r="BQ29" s="245">
        <f>SUM(BO29,BP29)</f>
        <v>0</v>
      </c>
      <c r="BR29" s="244">
        <f t="shared" si="30"/>
        <v>0</v>
      </c>
      <c r="BS29" s="243">
        <f t="shared" si="31"/>
        <v>0</v>
      </c>
      <c r="BT29" s="245">
        <f>SUM(BR29,BS29)</f>
        <v>0</v>
      </c>
      <c r="BU29" s="244">
        <f t="shared" si="33"/>
        <v>0</v>
      </c>
      <c r="BV29" s="243">
        <f t="shared" si="34"/>
        <v>0</v>
      </c>
      <c r="BW29" s="245">
        <f>SUM(BU29,BV29)</f>
        <v>0</v>
      </c>
      <c r="BX29" s="244">
        <f t="shared" si="36"/>
        <v>0</v>
      </c>
      <c r="BY29" s="243">
        <f t="shared" si="37"/>
        <v>0</v>
      </c>
      <c r="BZ29" s="245">
        <f>SUM(BX29,BY29)</f>
        <v>0</v>
      </c>
      <c r="CA29" s="243">
        <f t="shared" si="39"/>
        <v>0</v>
      </c>
      <c r="CB29" s="243">
        <f t="shared" si="40"/>
        <v>0</v>
      </c>
      <c r="CC29" s="245">
        <f>SUM(CA29,CB29)</f>
        <v>0</v>
      </c>
      <c r="CD29" s="243">
        <f t="shared" si="42"/>
        <v>0</v>
      </c>
      <c r="CE29" s="243">
        <f t="shared" si="43"/>
        <v>0</v>
      </c>
      <c r="CF29" s="245">
        <f>SUM(CD29,CE29)</f>
        <v>0</v>
      </c>
      <c r="CG29" s="243">
        <f>SUM($AG29)</f>
        <v>0</v>
      </c>
      <c r="CH29" s="243">
        <f>SUM($AH29)</f>
        <v>0</v>
      </c>
      <c r="CI29" s="245">
        <f>SUM(CG29,CH29)</f>
        <v>0</v>
      </c>
      <c r="CJ29" s="243">
        <v>0</v>
      </c>
      <c r="CK29" s="243">
        <v>0</v>
      </c>
      <c r="CL29" s="245">
        <f>SUM(CJ29,CK29)</f>
        <v>0</v>
      </c>
      <c r="CM29" s="243">
        <v>0</v>
      </c>
      <c r="CN29" s="243">
        <v>0</v>
      </c>
      <c r="CO29" s="245">
        <f>SUM(CM29,CN29)</f>
        <v>0</v>
      </c>
      <c r="CP29" s="243">
        <v>0</v>
      </c>
      <c r="CQ29" s="243">
        <v>0</v>
      </c>
      <c r="CR29" s="245">
        <f>SUM(CP29,CQ29)</f>
        <v>0</v>
      </c>
      <c r="CS29" s="243">
        <v>0</v>
      </c>
      <c r="CT29" s="243">
        <v>0</v>
      </c>
      <c r="CU29" s="245">
        <f>SUM(CS29,CT29)</f>
        <v>0</v>
      </c>
      <c r="CV29" s="243">
        <v>0</v>
      </c>
      <c r="CW29" s="243">
        <v>0</v>
      </c>
      <c r="CX29" s="245">
        <f>SUM(CV29,CW29)</f>
        <v>0</v>
      </c>
    </row>
    <row r="30" spans="1:102" ht="12.75">
      <c r="A30" s="607" t="s">
        <v>347</v>
      </c>
      <c r="B30" s="290"/>
      <c r="C30" s="248"/>
      <c r="D30" s="248"/>
      <c r="E30" s="238">
        <f>G30+I30+K30+M30+O30+Q30+S30+U30+W30+Y30+AA30+AC30+AE30+AG30+AI30+AK30+AM30+AO30+AQ30</f>
        <v>10800000.000000004</v>
      </c>
      <c r="F30" s="238">
        <f>H30+J30+L30+N30+P30+R30+T30+V30+X30+Z30+AB30+AD30+AF30+AH30+AJ30+AL30+AN30+AP30+AR30</f>
        <v>1514604</v>
      </c>
      <c r="G30" s="248"/>
      <c r="H30" s="248"/>
      <c r="I30" s="248"/>
      <c r="J30" s="249">
        <v>237249</v>
      </c>
      <c r="K30" s="248"/>
      <c r="L30" s="249">
        <v>268755</v>
      </c>
      <c r="M30" s="248">
        <v>568421.04</v>
      </c>
      <c r="N30" s="249">
        <v>153500</v>
      </c>
      <c r="O30" s="248">
        <v>852631.56</v>
      </c>
      <c r="P30" s="249">
        <v>141000</v>
      </c>
      <c r="Q30" s="248">
        <v>852631.56</v>
      </c>
      <c r="R30" s="249">
        <v>128000</v>
      </c>
      <c r="S30" s="248">
        <v>852631.56</v>
      </c>
      <c r="T30" s="249">
        <v>115500</v>
      </c>
      <c r="U30" s="248">
        <v>852631.56</v>
      </c>
      <c r="V30" s="249">
        <v>102500</v>
      </c>
      <c r="W30" s="248">
        <v>852631.56</v>
      </c>
      <c r="X30" s="249">
        <v>90000</v>
      </c>
      <c r="Y30" s="248">
        <v>852631.56</v>
      </c>
      <c r="Z30" s="249">
        <v>76800</v>
      </c>
      <c r="AA30" s="248">
        <v>852631.56</v>
      </c>
      <c r="AB30" s="249">
        <v>64000</v>
      </c>
      <c r="AC30" s="248">
        <v>852631.56</v>
      </c>
      <c r="AD30" s="249">
        <v>51500</v>
      </c>
      <c r="AE30" s="248">
        <v>852631.56</v>
      </c>
      <c r="AF30" s="249">
        <v>38500</v>
      </c>
      <c r="AG30" s="248">
        <v>852631.56</v>
      </c>
      <c r="AH30" s="249">
        <v>25700</v>
      </c>
      <c r="AI30" s="248">
        <v>852631.56</v>
      </c>
      <c r="AJ30" s="249">
        <v>13000</v>
      </c>
      <c r="AK30" s="248">
        <v>852631.8</v>
      </c>
      <c r="AL30" s="249">
        <v>8600</v>
      </c>
      <c r="AM30" s="248"/>
      <c r="AN30" s="249"/>
      <c r="AO30" s="248"/>
      <c r="AP30" s="249"/>
      <c r="AQ30" s="248"/>
      <c r="AR30" s="249"/>
      <c r="AU30" s="607" t="str">
        <f>A30</f>
        <v>pożyczka jessica</v>
      </c>
      <c r="AV30" s="608"/>
      <c r="AW30" s="619"/>
      <c r="AX30" s="620"/>
      <c r="AY30" s="621"/>
      <c r="AZ30" s="244">
        <v>9090000</v>
      </c>
      <c r="BA30" s="243">
        <f>SUM($H30,$J30,$L30,$N30,$P30,$R30,$T30,$V30,$X30,$Z30,$AB30,$AD30,$AF30,$AH30,$AJ30,$AL30,$AN30,$AP30,$AR30)</f>
        <v>1514604</v>
      </c>
      <c r="BB30" s="245">
        <f t="shared" ref="BB30" si="76">SUM(AZ30,BA30)</f>
        <v>10604604</v>
      </c>
      <c r="BC30" s="244">
        <f>SUM($M30,$O30,$Q30,$S30,$U30,$W30,$Y30,$AA30,$AC30,$AE30,$AG30,$AI30,$AK30,$AM30,$AO30,$AQ30)</f>
        <v>10800000.000000004</v>
      </c>
      <c r="BD30" s="243">
        <f>SUM($J30,$L30,$N30,$P30,$R30,$T30,$V30,$X30,$Z30,$AB30,$AD30,$AF30,$AH30,$AJ30,$AL30,$AN30,$AP30,$AR30)</f>
        <v>1514604</v>
      </c>
      <c r="BE30" s="245">
        <f t="shared" ref="BE30" si="77">SUM(BC30,BD30)</f>
        <v>12314604.000000004</v>
      </c>
      <c r="BF30" s="835">
        <f>SUM(O30,Q30,S30,U30,W30,Y30,AA30,AC30,AE30,AG30,AI30,AK30)</f>
        <v>10231578.960000005</v>
      </c>
      <c r="BG30" s="243">
        <f>SUM($L30,$N30,$P30,$R30,$T30,$V30,$X30,$Z30,$AB30,$AD30,$AF30,$AH30,$AJ30,$AL30,$AN30,$AP30,$AR30)</f>
        <v>1277355</v>
      </c>
      <c r="BH30" s="245">
        <f>SUM(BF30,BG30)</f>
        <v>11508933.960000005</v>
      </c>
      <c r="BI30" s="244">
        <f>SUM($Q30,$S30,$U30,$W30,$Y30,$AA30,$AC30,$AE30,$AG30,$AI30,$AK30)</f>
        <v>9378947.4000000041</v>
      </c>
      <c r="BJ30" s="243">
        <f>SUM($N30,$P30,$R30,$T30,$V30,$X30,$Z30,$AB30,$AD30,$AF30,$AH30,$AJ30,$AL30,$AN30,$AP30,$AR30)</f>
        <v>1008600</v>
      </c>
      <c r="BK30" s="245">
        <f>SUM(BI30,BJ30)</f>
        <v>10387547.400000004</v>
      </c>
      <c r="BL30" s="211">
        <f>SUM(S30,U30,W30,Y30,AA30,AC30,AE30,AG30,AI30,AK30)</f>
        <v>8526315.8400000036</v>
      </c>
      <c r="BM30" s="243">
        <f>SUM($P30,$R30,$T30,$V30,$X30,$Z30,$AB30,$AD30,$AF30,$AH30,$AJ30,$AL30,$AN30,$AP30,$AR30)</f>
        <v>855100</v>
      </c>
      <c r="BN30" s="245">
        <f>SUM(BL30,BM30)</f>
        <v>9381415.8400000036</v>
      </c>
      <c r="BO30" s="211">
        <f>SUM(U30,W30,Y30,AA30,AC30,AE30,AG30,AI30,AK30)</f>
        <v>7673684.2800000021</v>
      </c>
      <c r="BP30" s="243">
        <f>SUM($R30,$T30,$V30,$X30,$Z30,$AB30,$AD30,$AF30,$AH30,$AJ30,$AL30,$AN30,$AP30,$AR30)</f>
        <v>714100</v>
      </c>
      <c r="BQ30" s="245">
        <f>SUM(BO30,BP30)</f>
        <v>8387784.2800000021</v>
      </c>
      <c r="BR30" s="211">
        <f>SUM(W30,Y30,AA30,AC30,AE30,AG30,AI30,AK30)</f>
        <v>6821052.7200000016</v>
      </c>
      <c r="BS30" s="243">
        <f>SUM($T30,$V30,$X30,$Z30,$AB30,$AD30,$AF30,$AH30,$AJ30,$AL30,$AN30,$AP30,$AR30)</f>
        <v>586100</v>
      </c>
      <c r="BT30" s="245">
        <f>SUM(BR30,BS30)</f>
        <v>7407152.7200000016</v>
      </c>
      <c r="BU30" s="244">
        <f>SUM($Y30,$AA30,$AC30,$AE30,$AG30,$AI30,$AK30,$AM30,$AO30,$AQ30)</f>
        <v>5968421.1600000011</v>
      </c>
      <c r="BV30" s="243">
        <f>SUM($V30,$X30,$Z30,$AB30,$AD30,$AF30,$AH30,$AJ30,$AL30,$AN30,$AP30,$AR30)</f>
        <v>470600</v>
      </c>
      <c r="BW30" s="245">
        <f>SUM(BU30,BV30)</f>
        <v>6439021.1600000011</v>
      </c>
      <c r="BX30" s="244">
        <f>SUM($AA30,$AC30,$AE30,$AG30,$AI30,$AK30,$AM30,$AO30,$AQ30)</f>
        <v>5115789.6000000006</v>
      </c>
      <c r="BY30" s="243">
        <f>SUM($X30,$Z30,$AB30,$AD30,$AF30,$AH30,$AJ30,$AL30,$AN30,$AP30,$AR30)</f>
        <v>368100</v>
      </c>
      <c r="BZ30" s="245">
        <f>SUM(BX30,BY30)</f>
        <v>5483889.6000000006</v>
      </c>
      <c r="CA30" s="244">
        <f>SUM($AC30,$AE30,$AG30,$AI30,$AK30,$AM30,$AO30,$AQ30)</f>
        <v>4263158.04</v>
      </c>
      <c r="CB30" s="243">
        <f>SUM($Z30,$AB30,$AD30,$AF30,$AH30,$AJ30,$AL30,$AN30,$AP30,$AR30)</f>
        <v>278100</v>
      </c>
      <c r="CC30" s="245">
        <f>SUM(CA30,CB30)</f>
        <v>4541258.04</v>
      </c>
      <c r="CD30" s="244">
        <f>SUM($AE30,$AG30,$AI30,$AK30,$AM30,$AO30,$AQ30)</f>
        <v>3410526.4800000004</v>
      </c>
      <c r="CE30" s="243">
        <f>SUM($AB30,$AD30,$AF30,$AH30,$AJ30,$AL30,$AN30,$AP30,$AR30)</f>
        <v>201300</v>
      </c>
      <c r="CF30" s="245">
        <f>SUM(CD30,CE30)</f>
        <v>3611826.4800000004</v>
      </c>
      <c r="CG30" s="244">
        <f>SUM($AG30,$AI30,$AK30,$AM30,$AO30,$AQ30)</f>
        <v>2557894.92</v>
      </c>
      <c r="CH30" s="243">
        <f>SUM($AD30,$AF30,$AH30,$AJ30,$AL30,$AN30,$AP30,$AR30)</f>
        <v>137300</v>
      </c>
      <c r="CI30" s="245">
        <f>SUM(CG30,CH30)</f>
        <v>2695194.92</v>
      </c>
      <c r="CJ30" s="244">
        <f>SUM($AI30,$AK30,$AM30,$AO30,$AQ30)</f>
        <v>1705263.36</v>
      </c>
      <c r="CK30" s="243">
        <f>SUM($AF30,$AH30,$AJ30,$AL30,$AN30,$AP30,$AR30)</f>
        <v>85800</v>
      </c>
      <c r="CL30" s="245">
        <f>SUM(CJ30,CK30)</f>
        <v>1791063.36</v>
      </c>
      <c r="CM30" s="244">
        <f>SUM($AK30,$AM30,$AO30,$AQ30)</f>
        <v>852631.8</v>
      </c>
      <c r="CN30" s="243">
        <f>SUM($AH30,$AJ30,$AL30,$AN30,$AP30,$AR30)</f>
        <v>47300</v>
      </c>
      <c r="CO30" s="245">
        <f>SUM(CM30,CN30)</f>
        <v>899931.8</v>
      </c>
      <c r="CP30" s="244">
        <f>SUM($AM30,$AO30,$AQ30)</f>
        <v>0</v>
      </c>
      <c r="CQ30" s="243">
        <f>SUM($AJ30,$AL30,$AN30,$AP30,$AR30)</f>
        <v>21600</v>
      </c>
      <c r="CR30" s="245">
        <f>SUM(CP30,CQ30)</f>
        <v>21600</v>
      </c>
      <c r="CS30" s="244">
        <f>SUM($AO30,$AQ30)</f>
        <v>0</v>
      </c>
      <c r="CT30" s="243">
        <f>SUM($AL30,$AN30,$AP30,$AR30)</f>
        <v>8600</v>
      </c>
      <c r="CU30" s="245">
        <f>SUM(CS30,CT30)</f>
        <v>8600</v>
      </c>
      <c r="CV30" s="244">
        <f>SUM($AQ30)</f>
        <v>0</v>
      </c>
      <c r="CW30" s="243">
        <f>SUM($AN30,$AP30,$AR30)</f>
        <v>0</v>
      </c>
      <c r="CX30" s="245">
        <f>SUM(CV30,CW30)</f>
        <v>0</v>
      </c>
    </row>
    <row r="31" spans="1:102" ht="13.5" thickBot="1">
      <c r="A31" s="250" t="s">
        <v>266</v>
      </c>
      <c r="B31" s="251">
        <f>SUM(B14:B29)</f>
        <v>5721940.9900000002</v>
      </c>
      <c r="C31" s="252">
        <f t="shared" ref="C31:D31" si="78">SUM(C14:C27)</f>
        <v>670898</v>
      </c>
      <c r="D31" s="252">
        <f t="shared" si="78"/>
        <v>114809.69</v>
      </c>
      <c r="E31" s="252">
        <f>SUM(E14:E26)</f>
        <v>2210959.29</v>
      </c>
      <c r="F31" s="252">
        <f>SUM(F14:F26)</f>
        <v>217336.24999999997</v>
      </c>
      <c r="G31" s="252">
        <f>SUM(G14:G29)</f>
        <v>698867</v>
      </c>
      <c r="H31" s="252">
        <f>SUM(H14:H29)</f>
        <v>76564.539999999979</v>
      </c>
      <c r="I31" s="252">
        <f t="shared" ref="I31:AR31" si="79">SUM(I14:I30)</f>
        <v>660865</v>
      </c>
      <c r="J31" s="252">
        <f t="shared" si="79"/>
        <v>294821.18</v>
      </c>
      <c r="K31" s="252">
        <f t="shared" si="79"/>
        <v>601395</v>
      </c>
      <c r="L31" s="252">
        <f t="shared" si="79"/>
        <v>307817</v>
      </c>
      <c r="M31" s="252">
        <f t="shared" si="79"/>
        <v>1013992.3300000001</v>
      </c>
      <c r="N31" s="252">
        <f t="shared" si="79"/>
        <v>437788.24999999994</v>
      </c>
      <c r="O31" s="252">
        <f t="shared" si="79"/>
        <v>1544276.56</v>
      </c>
      <c r="P31" s="252">
        <f t="shared" si="79"/>
        <v>412561.9599999999</v>
      </c>
      <c r="Q31" s="252">
        <f t="shared" si="79"/>
        <v>1514963.56</v>
      </c>
      <c r="R31" s="252">
        <f t="shared" si="79"/>
        <v>367842.54999999993</v>
      </c>
      <c r="S31" s="252">
        <f t="shared" si="79"/>
        <v>1463968.56</v>
      </c>
      <c r="T31" s="252">
        <f t="shared" si="79"/>
        <v>324774.27</v>
      </c>
      <c r="U31" s="252">
        <f t="shared" si="79"/>
        <v>1367150.56</v>
      </c>
      <c r="V31" s="252">
        <f t="shared" si="79"/>
        <v>283396.83000000007</v>
      </c>
      <c r="W31" s="252">
        <f t="shared" si="79"/>
        <v>1346807.56</v>
      </c>
      <c r="X31" s="252">
        <f t="shared" si="79"/>
        <v>244699.52999999997</v>
      </c>
      <c r="Y31" s="252">
        <f t="shared" si="79"/>
        <v>1346807.56</v>
      </c>
      <c r="Z31" s="252">
        <f t="shared" si="79"/>
        <v>205353.1</v>
      </c>
      <c r="AA31" s="252">
        <f t="shared" si="79"/>
        <v>1346807.56</v>
      </c>
      <c r="AB31" s="252">
        <f t="shared" si="79"/>
        <v>166406.77000000002</v>
      </c>
      <c r="AC31" s="252">
        <f t="shared" si="79"/>
        <v>1346807.56</v>
      </c>
      <c r="AD31" s="252">
        <f t="shared" si="79"/>
        <v>127760.32999999999</v>
      </c>
      <c r="AE31" s="252">
        <f t="shared" si="79"/>
        <v>1346807.56</v>
      </c>
      <c r="AF31" s="252">
        <f t="shared" si="79"/>
        <v>88613.9</v>
      </c>
      <c r="AG31" s="252">
        <f t="shared" si="79"/>
        <v>1346807.56</v>
      </c>
      <c r="AH31" s="252">
        <f t="shared" si="79"/>
        <v>49667.569999999992</v>
      </c>
      <c r="AI31" s="252">
        <f t="shared" si="79"/>
        <v>852631.56</v>
      </c>
      <c r="AJ31" s="252">
        <f t="shared" si="79"/>
        <v>13000</v>
      </c>
      <c r="AK31" s="252">
        <f t="shared" si="79"/>
        <v>852631.8</v>
      </c>
      <c r="AL31" s="252">
        <f t="shared" si="79"/>
        <v>8600</v>
      </c>
      <c r="AM31" s="252">
        <f t="shared" si="79"/>
        <v>0</v>
      </c>
      <c r="AN31" s="252">
        <f t="shared" si="79"/>
        <v>0</v>
      </c>
      <c r="AO31" s="252">
        <f t="shared" si="79"/>
        <v>0</v>
      </c>
      <c r="AP31" s="252">
        <f t="shared" si="79"/>
        <v>0</v>
      </c>
      <c r="AQ31" s="252">
        <f t="shared" si="79"/>
        <v>0</v>
      </c>
      <c r="AR31" s="252">
        <f t="shared" si="79"/>
        <v>0</v>
      </c>
      <c r="AU31" s="253" t="s">
        <v>266</v>
      </c>
      <c r="AV31" s="254">
        <f>SUM(AV14:AV27)</f>
        <v>5721940.9900000002</v>
      </c>
      <c r="AW31" s="255">
        <f t="shared" ref="AW31:CB31" si="80">SUM(AW14:AW30)</f>
        <v>2210959.29</v>
      </c>
      <c r="AX31" s="256">
        <f t="shared" si="80"/>
        <v>140771.71</v>
      </c>
      <c r="AY31" s="257">
        <f t="shared" si="80"/>
        <v>2351731</v>
      </c>
      <c r="AZ31" s="255">
        <f t="shared" si="80"/>
        <v>10640094.289999999</v>
      </c>
      <c r="BA31" s="256">
        <f t="shared" si="80"/>
        <v>1597803.53</v>
      </c>
      <c r="BB31" s="257">
        <f t="shared" si="80"/>
        <v>12237897.82</v>
      </c>
      <c r="BC31" s="255">
        <f t="shared" si="80"/>
        <v>16690460.290000003</v>
      </c>
      <c r="BD31" s="256">
        <f t="shared" si="80"/>
        <v>3236469.06</v>
      </c>
      <c r="BE31" s="257">
        <f t="shared" si="80"/>
        <v>19926929.350000005</v>
      </c>
      <c r="BF31" s="255">
        <f t="shared" si="80"/>
        <v>15676467.960000005</v>
      </c>
      <c r="BG31" s="256">
        <f t="shared" si="80"/>
        <v>2714931.8100000005</v>
      </c>
      <c r="BH31" s="257">
        <f t="shared" si="80"/>
        <v>18391399.770000003</v>
      </c>
      <c r="BI31" s="255">
        <f t="shared" si="80"/>
        <v>14132191.400000004</v>
      </c>
      <c r="BJ31" s="256">
        <f t="shared" si="80"/>
        <v>2174614.8499999996</v>
      </c>
      <c r="BK31" s="257">
        <f t="shared" si="80"/>
        <v>16306806.250000004</v>
      </c>
      <c r="BL31" s="255">
        <f t="shared" si="80"/>
        <v>12617227.840000004</v>
      </c>
      <c r="BM31" s="256">
        <f t="shared" si="80"/>
        <v>1781272.2999999998</v>
      </c>
      <c r="BN31" s="257">
        <f t="shared" si="80"/>
        <v>14398500.140000004</v>
      </c>
      <c r="BO31" s="255">
        <f t="shared" si="80"/>
        <v>11153259.280000001</v>
      </c>
      <c r="BP31" s="256">
        <f t="shared" si="80"/>
        <v>1430998.0299999998</v>
      </c>
      <c r="BQ31" s="257">
        <f t="shared" si="80"/>
        <v>12584257.310000002</v>
      </c>
      <c r="BR31" s="255">
        <f t="shared" si="80"/>
        <v>9786108.7200000025</v>
      </c>
      <c r="BS31" s="256">
        <f t="shared" si="80"/>
        <v>1122101.2</v>
      </c>
      <c r="BT31" s="257">
        <f t="shared" si="80"/>
        <v>10908209.920000002</v>
      </c>
      <c r="BU31" s="255">
        <f t="shared" si="80"/>
        <v>8439301.1600000001</v>
      </c>
      <c r="BV31" s="256">
        <f t="shared" si="80"/>
        <v>851901.66999999993</v>
      </c>
      <c r="BW31" s="257">
        <f t="shared" si="80"/>
        <v>9291202.8300000019</v>
      </c>
      <c r="BX31" s="255">
        <f t="shared" si="80"/>
        <v>7092493.6000000006</v>
      </c>
      <c r="BY31" s="256">
        <f t="shared" si="80"/>
        <v>620848.56999999995</v>
      </c>
      <c r="BZ31" s="257">
        <f t="shared" si="80"/>
        <v>7713342.1699999999</v>
      </c>
      <c r="CA31" s="255">
        <f t="shared" si="80"/>
        <v>5745686.04</v>
      </c>
      <c r="CB31" s="256">
        <f t="shared" si="80"/>
        <v>428441.8</v>
      </c>
      <c r="CC31" s="257">
        <f t="shared" ref="CC31:CX31" si="81">SUM(CC14:CC30)</f>
        <v>6174127.8399999999</v>
      </c>
      <c r="CD31" s="255">
        <f t="shared" si="81"/>
        <v>4398878.4800000004</v>
      </c>
      <c r="CE31" s="256">
        <f t="shared" si="81"/>
        <v>275381.46999999997</v>
      </c>
      <c r="CF31" s="257">
        <f t="shared" si="81"/>
        <v>4674259.95</v>
      </c>
      <c r="CG31" s="255">
        <f t="shared" si="81"/>
        <v>3052070.92</v>
      </c>
      <c r="CH31" s="256">
        <f t="shared" si="81"/>
        <v>161267.57</v>
      </c>
      <c r="CI31" s="257">
        <f t="shared" si="81"/>
        <v>3213338.4899999998</v>
      </c>
      <c r="CJ31" s="255">
        <f t="shared" si="81"/>
        <v>1705263.36</v>
      </c>
      <c r="CK31" s="256">
        <f t="shared" si="81"/>
        <v>85800</v>
      </c>
      <c r="CL31" s="257">
        <f t="shared" si="81"/>
        <v>1791063.36</v>
      </c>
      <c r="CM31" s="255">
        <f t="shared" si="81"/>
        <v>852631.8</v>
      </c>
      <c r="CN31" s="256">
        <f t="shared" si="81"/>
        <v>47300</v>
      </c>
      <c r="CO31" s="257">
        <f t="shared" si="81"/>
        <v>899931.8</v>
      </c>
      <c r="CP31" s="255">
        <f t="shared" si="81"/>
        <v>0</v>
      </c>
      <c r="CQ31" s="256">
        <f t="shared" si="81"/>
        <v>21600</v>
      </c>
      <c r="CR31" s="257">
        <f t="shared" si="81"/>
        <v>21600</v>
      </c>
      <c r="CS31" s="255">
        <f t="shared" si="81"/>
        <v>0</v>
      </c>
      <c r="CT31" s="256">
        <f t="shared" si="81"/>
        <v>8600</v>
      </c>
      <c r="CU31" s="257">
        <f t="shared" si="81"/>
        <v>8600</v>
      </c>
      <c r="CV31" s="255">
        <f t="shared" si="81"/>
        <v>0</v>
      </c>
      <c r="CW31" s="256">
        <f t="shared" si="81"/>
        <v>0</v>
      </c>
      <c r="CX31" s="257">
        <f t="shared" si="81"/>
        <v>0</v>
      </c>
    </row>
    <row r="32" spans="1:102" ht="14.25" thickBot="1">
      <c r="A32" s="231"/>
      <c r="B32" s="258" t="s">
        <v>263</v>
      </c>
      <c r="C32" s="1654">
        <f>SUM(C31,D31)</f>
        <v>785707.69</v>
      </c>
      <c r="D32" s="1654"/>
      <c r="E32" s="1654">
        <f>SUM(E31,F31)</f>
        <v>2428295.54</v>
      </c>
      <c r="F32" s="1654"/>
      <c r="G32" s="1654">
        <f>SUM(G31,H31)</f>
        <v>775431.54</v>
      </c>
      <c r="H32" s="1654"/>
      <c r="I32" s="1654">
        <f>SUM(I31,J31)</f>
        <v>955686.17999999993</v>
      </c>
      <c r="J32" s="1654"/>
      <c r="K32" s="1654">
        <f>SUM(K31,L31)</f>
        <v>909212</v>
      </c>
      <c r="L32" s="1654"/>
      <c r="M32" s="1654">
        <f>SUM(M31,N31)</f>
        <v>1451780.58</v>
      </c>
      <c r="N32" s="1654"/>
      <c r="O32" s="1654">
        <f>SUM(O31,P31)</f>
        <v>1956838.52</v>
      </c>
      <c r="P32" s="1655"/>
      <c r="Q32" s="1660">
        <f>SUM(Q31,R31)</f>
        <v>1882806.1099999999</v>
      </c>
      <c r="R32" s="1660"/>
      <c r="S32" s="1661">
        <f>SUM(S31,T31)</f>
        <v>1788742.83</v>
      </c>
      <c r="T32" s="1662"/>
      <c r="U32" s="1654">
        <f>SUM(U31,V31)</f>
        <v>1650547.3900000001</v>
      </c>
      <c r="V32" s="1655"/>
      <c r="W32" s="1654">
        <f>SUM(W31,X31)</f>
        <v>1591507.09</v>
      </c>
      <c r="X32" s="1654"/>
      <c r="Y32" s="1654">
        <f>SUM(Y31,Z31)</f>
        <v>1552160.6600000001</v>
      </c>
      <c r="Z32" s="1654"/>
      <c r="AA32" s="1654">
        <f>SUM(AA31,AB31)</f>
        <v>1513214.33</v>
      </c>
      <c r="AB32" s="1655"/>
      <c r="AC32" s="1654">
        <f>SUM(AC31,AD31)</f>
        <v>1474567.8900000001</v>
      </c>
      <c r="AD32" s="1654"/>
      <c r="AE32" s="1656">
        <f>SUM(AE31,AF31)</f>
        <v>1435421.46</v>
      </c>
      <c r="AF32" s="1655"/>
      <c r="AG32" s="1654">
        <f>SUM(AG31,AH31)</f>
        <v>1396475.1300000001</v>
      </c>
      <c r="AH32" s="1657"/>
      <c r="AI32" s="1654">
        <f>SUM(AI31,AJ31)</f>
        <v>865631.56</v>
      </c>
      <c r="AJ32" s="1657"/>
      <c r="AK32" s="1654">
        <f>SUM(AK31,AL31)</f>
        <v>861231.8</v>
      </c>
      <c r="AL32" s="1657"/>
      <c r="AM32" s="1654">
        <f>SUM(AM31,AN31)</f>
        <v>0</v>
      </c>
      <c r="AN32" s="1657"/>
      <c r="AO32" s="1654">
        <f>SUM(AO31,AP31)</f>
        <v>0</v>
      </c>
      <c r="AP32" s="1657"/>
      <c r="AQ32" s="1654">
        <f>SUM(AQ31,AR31)</f>
        <v>0</v>
      </c>
      <c r="AR32" s="1657"/>
      <c r="AU32" s="259"/>
      <c r="AV32" s="259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</row>
    <row r="33" spans="1:102" ht="13.5" thickBot="1">
      <c r="A33" s="1658" t="s">
        <v>267</v>
      </c>
      <c r="B33" s="1659"/>
      <c r="C33" s="261">
        <f t="shared" ref="C33:AH33" si="82">SUM(C11,C31)</f>
        <v>670898</v>
      </c>
      <c r="D33" s="261">
        <f t="shared" si="82"/>
        <v>114809.69</v>
      </c>
      <c r="E33" s="261">
        <f t="shared" si="82"/>
        <v>2210959.29</v>
      </c>
      <c r="F33" s="261">
        <f t="shared" si="82"/>
        <v>217336.24999999997</v>
      </c>
      <c r="G33" s="261">
        <f t="shared" si="82"/>
        <v>698867</v>
      </c>
      <c r="H33" s="261">
        <f t="shared" si="82"/>
        <v>76564.539999999979</v>
      </c>
      <c r="I33" s="261">
        <f t="shared" si="82"/>
        <v>660865</v>
      </c>
      <c r="J33" s="261">
        <f t="shared" si="82"/>
        <v>337089.18</v>
      </c>
      <c r="K33" s="261">
        <f t="shared" si="82"/>
        <v>601395</v>
      </c>
      <c r="L33" s="261">
        <f t="shared" si="82"/>
        <v>595891</v>
      </c>
      <c r="M33" s="261">
        <f t="shared" si="82"/>
        <v>1337992.33</v>
      </c>
      <c r="N33" s="261">
        <f t="shared" si="82"/>
        <v>649888.25</v>
      </c>
      <c r="O33" s="261">
        <f t="shared" si="82"/>
        <v>1868276.56</v>
      </c>
      <c r="P33" s="262">
        <f t="shared" si="82"/>
        <v>608361.96</v>
      </c>
      <c r="Q33" s="261">
        <f t="shared" si="82"/>
        <v>1838963.56</v>
      </c>
      <c r="R33" s="261">
        <f t="shared" si="82"/>
        <v>547342.54999999993</v>
      </c>
      <c r="S33" s="261">
        <f t="shared" si="82"/>
        <v>1787968.56</v>
      </c>
      <c r="T33" s="261">
        <f t="shared" si="82"/>
        <v>487974.27</v>
      </c>
      <c r="U33" s="262">
        <f t="shared" si="82"/>
        <v>1691150.56</v>
      </c>
      <c r="V33" s="262">
        <f t="shared" si="82"/>
        <v>430296.83000000007</v>
      </c>
      <c r="W33" s="261">
        <f t="shared" si="82"/>
        <v>1670807.56</v>
      </c>
      <c r="X33" s="261">
        <f t="shared" si="82"/>
        <v>375299.52999999997</v>
      </c>
      <c r="Y33" s="261">
        <f t="shared" si="82"/>
        <v>1670807.56</v>
      </c>
      <c r="Z33" s="261">
        <f t="shared" si="82"/>
        <v>319553.09999999998</v>
      </c>
      <c r="AA33" s="261">
        <f t="shared" si="82"/>
        <v>1670807.56</v>
      </c>
      <c r="AB33" s="262">
        <f t="shared" si="82"/>
        <v>264306.77</v>
      </c>
      <c r="AC33" s="261">
        <f t="shared" si="82"/>
        <v>1670807.56</v>
      </c>
      <c r="AD33" s="261">
        <f t="shared" si="82"/>
        <v>209360.33</v>
      </c>
      <c r="AE33" s="263">
        <f t="shared" si="82"/>
        <v>1670807.56</v>
      </c>
      <c r="AF33" s="262">
        <f t="shared" si="82"/>
        <v>153913.9</v>
      </c>
      <c r="AG33" s="261">
        <f t="shared" si="82"/>
        <v>1670807.56</v>
      </c>
      <c r="AH33" s="264">
        <f t="shared" si="82"/>
        <v>98667.569999999992</v>
      </c>
      <c r="AI33" s="261">
        <f t="shared" ref="AI33:AR33" si="83">SUM(AI11,AI31)</f>
        <v>1176631.56</v>
      </c>
      <c r="AJ33" s="264">
        <f t="shared" si="83"/>
        <v>45700</v>
      </c>
      <c r="AK33" s="261">
        <f t="shared" si="83"/>
        <v>1164631.8</v>
      </c>
      <c r="AL33" s="264">
        <f t="shared" si="83"/>
        <v>24920</v>
      </c>
      <c r="AM33" s="261">
        <f t="shared" si="83"/>
        <v>0</v>
      </c>
      <c r="AN33" s="264">
        <f t="shared" si="83"/>
        <v>0</v>
      </c>
      <c r="AO33" s="261">
        <f t="shared" si="83"/>
        <v>0</v>
      </c>
      <c r="AP33" s="264">
        <f t="shared" si="83"/>
        <v>0</v>
      </c>
      <c r="AQ33" s="261">
        <f t="shared" si="83"/>
        <v>0</v>
      </c>
      <c r="AR33" s="264">
        <f t="shared" si="83"/>
        <v>0</v>
      </c>
      <c r="AU33" s="265" t="s">
        <v>267</v>
      </c>
      <c r="AV33" s="266"/>
      <c r="AW33" s="267">
        <f t="shared" ref="AW33:CF33" si="84">SUM(AW11+AW31)</f>
        <v>2210959.29</v>
      </c>
      <c r="AX33" s="267">
        <f t="shared" si="84"/>
        <v>140771.71</v>
      </c>
      <c r="AY33" s="267">
        <f t="shared" si="84"/>
        <v>2351731</v>
      </c>
      <c r="AZ33" s="267">
        <f t="shared" si="84"/>
        <v>11232094.289999999</v>
      </c>
      <c r="BA33" s="267">
        <f t="shared" si="84"/>
        <v>3413265.5300000003</v>
      </c>
      <c r="BB33" s="267">
        <f t="shared" si="84"/>
        <v>14645359.82</v>
      </c>
      <c r="BC33" s="267">
        <f t="shared" si="84"/>
        <v>20890460.290000003</v>
      </c>
      <c r="BD33" s="267">
        <f t="shared" si="84"/>
        <v>5009663.0600000005</v>
      </c>
      <c r="BE33" s="267">
        <f t="shared" si="84"/>
        <v>25900123.350000005</v>
      </c>
      <c r="BF33" s="267">
        <f t="shared" si="84"/>
        <v>19552467.960000005</v>
      </c>
      <c r="BG33" s="267">
        <f t="shared" si="84"/>
        <v>4200051.8100000005</v>
      </c>
      <c r="BH33" s="267">
        <f t="shared" si="84"/>
        <v>23752519.770000003</v>
      </c>
      <c r="BI33" s="267">
        <f t="shared" si="84"/>
        <v>17684191.400000006</v>
      </c>
      <c r="BJ33" s="267">
        <f t="shared" si="84"/>
        <v>3447634.8499999996</v>
      </c>
      <c r="BK33" s="267">
        <f t="shared" si="84"/>
        <v>21131826.250000004</v>
      </c>
      <c r="BL33" s="267">
        <f t="shared" si="84"/>
        <v>15845227.840000004</v>
      </c>
      <c r="BM33" s="267">
        <f t="shared" si="84"/>
        <v>2858492.3</v>
      </c>
      <c r="BN33" s="267">
        <f t="shared" si="84"/>
        <v>18703720.140000004</v>
      </c>
      <c r="BO33" s="267">
        <f t="shared" si="84"/>
        <v>14057259.280000001</v>
      </c>
      <c r="BP33" s="267">
        <f t="shared" si="84"/>
        <v>2328718.0299999998</v>
      </c>
      <c r="BQ33" s="267">
        <f t="shared" si="84"/>
        <v>16385977.310000002</v>
      </c>
      <c r="BR33" s="267">
        <f t="shared" si="84"/>
        <v>12366108.720000003</v>
      </c>
      <c r="BS33" s="267">
        <f t="shared" si="84"/>
        <v>1856621.2</v>
      </c>
      <c r="BT33" s="267">
        <f t="shared" si="84"/>
        <v>14222729.920000002</v>
      </c>
      <c r="BU33" s="267">
        <f t="shared" si="84"/>
        <v>10695301.16</v>
      </c>
      <c r="BV33" s="267">
        <f t="shared" si="84"/>
        <v>1439521.67</v>
      </c>
      <c r="BW33" s="267">
        <f t="shared" si="84"/>
        <v>12134822.830000002</v>
      </c>
      <c r="BX33" s="267">
        <f t="shared" si="84"/>
        <v>9024493.6000000015</v>
      </c>
      <c r="BY33" s="267">
        <f t="shared" si="84"/>
        <v>1077868.5699999998</v>
      </c>
      <c r="BZ33" s="267">
        <f t="shared" si="84"/>
        <v>10102362.17</v>
      </c>
      <c r="CA33" s="267">
        <f t="shared" si="84"/>
        <v>7353686.04</v>
      </c>
      <c r="CB33" s="267">
        <f t="shared" si="84"/>
        <v>771261.8</v>
      </c>
      <c r="CC33" s="267">
        <f t="shared" si="84"/>
        <v>8124947.8399999999</v>
      </c>
      <c r="CD33" s="267">
        <f t="shared" si="84"/>
        <v>5682878.4800000004</v>
      </c>
      <c r="CE33" s="267">
        <f t="shared" si="84"/>
        <v>520301.47</v>
      </c>
      <c r="CF33" s="267">
        <f t="shared" si="84"/>
        <v>6203179.9500000002</v>
      </c>
      <c r="CG33" s="267">
        <f t="shared" ref="CG33:CI33" si="85">SUM(CG11+CG31)</f>
        <v>4012070.92</v>
      </c>
      <c r="CH33" s="267">
        <f t="shared" si="85"/>
        <v>324587.57</v>
      </c>
      <c r="CI33" s="267">
        <f t="shared" si="85"/>
        <v>4336658.49</v>
      </c>
      <c r="CJ33" s="267">
        <f t="shared" ref="CJ33:CX33" si="86">SUM(CJ11+CJ31)</f>
        <v>2341263.3600000003</v>
      </c>
      <c r="CK33" s="267">
        <f t="shared" si="86"/>
        <v>183820</v>
      </c>
      <c r="CL33" s="267">
        <f t="shared" si="86"/>
        <v>2525083.3600000003</v>
      </c>
      <c r="CM33" s="267">
        <f t="shared" si="86"/>
        <v>1164631.8</v>
      </c>
      <c r="CN33" s="267">
        <f t="shared" si="86"/>
        <v>96320</v>
      </c>
      <c r="CO33" s="267">
        <f t="shared" si="86"/>
        <v>1260951.8</v>
      </c>
      <c r="CP33" s="267">
        <f t="shared" si="86"/>
        <v>0</v>
      </c>
      <c r="CQ33" s="267">
        <f t="shared" si="86"/>
        <v>37920</v>
      </c>
      <c r="CR33" s="267">
        <f t="shared" si="86"/>
        <v>37920</v>
      </c>
      <c r="CS33" s="267">
        <f t="shared" si="86"/>
        <v>0</v>
      </c>
      <c r="CT33" s="267">
        <f t="shared" si="86"/>
        <v>122900</v>
      </c>
      <c r="CU33" s="267">
        <f t="shared" si="86"/>
        <v>122900</v>
      </c>
      <c r="CV33" s="267">
        <f t="shared" si="86"/>
        <v>0</v>
      </c>
      <c r="CW33" s="267">
        <f t="shared" si="86"/>
        <v>114300</v>
      </c>
      <c r="CX33" s="267">
        <f t="shared" si="86"/>
        <v>114300</v>
      </c>
    </row>
    <row r="34" spans="1:102" ht="13.5" thickBot="1">
      <c r="A34" s="1652" t="s">
        <v>268</v>
      </c>
      <c r="B34" s="1653"/>
      <c r="C34" s="1632">
        <f>SUM(C33,D33)</f>
        <v>785707.69</v>
      </c>
      <c r="D34" s="1632"/>
      <c r="E34" s="268"/>
      <c r="F34" s="268">
        <f>E33+F33</f>
        <v>2428295.54</v>
      </c>
      <c r="G34" s="1632">
        <f>SUM(G33,H33)</f>
        <v>775431.54</v>
      </c>
      <c r="H34" s="1632"/>
      <c r="I34" s="1632">
        <f>SUM(I33,J33)</f>
        <v>997954.17999999993</v>
      </c>
      <c r="J34" s="1632"/>
      <c r="K34" s="1632">
        <f>SUM(K33,L33)</f>
        <v>1197286</v>
      </c>
      <c r="L34" s="1632"/>
      <c r="M34" s="1632">
        <f>SUM(M33,N33)</f>
        <v>1987880.58</v>
      </c>
      <c r="N34" s="1632"/>
      <c r="O34" s="1632">
        <f>SUM(O33,P33)</f>
        <v>2476638.52</v>
      </c>
      <c r="P34" s="1638"/>
      <c r="Q34" s="1632">
        <f>SUM(Q33,R33)</f>
        <v>2386306.11</v>
      </c>
      <c r="R34" s="1632"/>
      <c r="S34" s="268"/>
      <c r="T34" s="268"/>
      <c r="U34" s="1632">
        <f>SUM(U33,V33)</f>
        <v>2121447.39</v>
      </c>
      <c r="V34" s="1638"/>
      <c r="W34" s="1632">
        <f>SUM(W33,X33)</f>
        <v>2046107.09</v>
      </c>
      <c r="X34" s="1632"/>
      <c r="Y34" s="1632">
        <f>SUM(Y33,Z33)</f>
        <v>1990360.6600000001</v>
      </c>
      <c r="Z34" s="1632"/>
      <c r="AA34" s="1632">
        <f>SUM(AA33,AB33)</f>
        <v>1935114.33</v>
      </c>
      <c r="AB34" s="1638"/>
      <c r="AC34" s="1632">
        <f>SUM(AC33,AD33)</f>
        <v>1880167.8900000001</v>
      </c>
      <c r="AD34" s="1632"/>
      <c r="AE34" s="1637">
        <f>SUM(AE33,AF33)</f>
        <v>1824721.46</v>
      </c>
      <c r="AF34" s="1638"/>
      <c r="AG34" s="1632">
        <f>SUM(AG33,AH33)</f>
        <v>1769475.1300000001</v>
      </c>
      <c r="AH34" s="1639"/>
      <c r="AI34" s="1632">
        <f>SUM(AI33,AJ33)</f>
        <v>1222331.56</v>
      </c>
      <c r="AJ34" s="1639"/>
      <c r="AK34" s="1632">
        <f>SUM(AK33,AL33)</f>
        <v>1189551.8</v>
      </c>
      <c r="AL34" s="1639"/>
      <c r="AM34" s="1632">
        <f>SUM(AM33,AN33)</f>
        <v>0</v>
      </c>
      <c r="AN34" s="1639"/>
      <c r="AO34" s="1632">
        <f>SUM(AO33,AP33)</f>
        <v>0</v>
      </c>
      <c r="AP34" s="1639"/>
      <c r="AQ34" s="1632">
        <f>SUM(AQ33,AR33)</f>
        <v>0</v>
      </c>
      <c r="AR34" s="1639"/>
      <c r="AU34" s="269"/>
      <c r="AV34" s="269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</row>
    <row r="35" spans="1:102" ht="27" customHeight="1">
      <c r="A35" s="215" t="s">
        <v>269</v>
      </c>
      <c r="B35" s="228" t="s">
        <v>270</v>
      </c>
      <c r="C35" s="271" t="s">
        <v>258</v>
      </c>
      <c r="D35" s="272" t="s">
        <v>259</v>
      </c>
      <c r="E35" s="271" t="s">
        <v>258</v>
      </c>
      <c r="F35" s="272" t="s">
        <v>259</v>
      </c>
      <c r="G35" s="271" t="s">
        <v>258</v>
      </c>
      <c r="H35" s="272" t="s">
        <v>259</v>
      </c>
      <c r="I35" s="271" t="s">
        <v>258</v>
      </c>
      <c r="J35" s="272" t="s">
        <v>259</v>
      </c>
      <c r="K35" s="271" t="s">
        <v>258</v>
      </c>
      <c r="L35" s="272" t="s">
        <v>259</v>
      </c>
      <c r="M35" s="271" t="s">
        <v>258</v>
      </c>
      <c r="N35" s="272" t="s">
        <v>259</v>
      </c>
      <c r="O35" s="271" t="s">
        <v>258</v>
      </c>
      <c r="P35" s="272" t="s">
        <v>259</v>
      </c>
      <c r="Q35" s="271" t="s">
        <v>258</v>
      </c>
      <c r="R35" s="272" t="s">
        <v>259</v>
      </c>
      <c r="S35" s="271" t="s">
        <v>258</v>
      </c>
      <c r="T35" s="272" t="s">
        <v>259</v>
      </c>
      <c r="U35" s="271" t="s">
        <v>258</v>
      </c>
      <c r="V35" s="272" t="s">
        <v>259</v>
      </c>
      <c r="W35" s="271" t="s">
        <v>258</v>
      </c>
      <c r="X35" s="272" t="s">
        <v>259</v>
      </c>
      <c r="Y35" s="271" t="s">
        <v>258</v>
      </c>
      <c r="Z35" s="272" t="s">
        <v>259</v>
      </c>
      <c r="AA35" s="271" t="s">
        <v>258</v>
      </c>
      <c r="AB35" s="272" t="s">
        <v>259</v>
      </c>
      <c r="AC35" s="271" t="s">
        <v>258</v>
      </c>
      <c r="AD35" s="272" t="s">
        <v>259</v>
      </c>
      <c r="AE35" s="271" t="s">
        <v>258</v>
      </c>
      <c r="AF35" s="272" t="s">
        <v>259</v>
      </c>
      <c r="AG35" s="271" t="s">
        <v>258</v>
      </c>
      <c r="AH35" s="272" t="s">
        <v>259</v>
      </c>
      <c r="AI35" s="271" t="s">
        <v>258</v>
      </c>
      <c r="AJ35" s="272" t="s">
        <v>259</v>
      </c>
      <c r="AK35" s="271" t="s">
        <v>258</v>
      </c>
      <c r="AL35" s="272" t="s">
        <v>259</v>
      </c>
      <c r="AM35" s="271" t="s">
        <v>258</v>
      </c>
      <c r="AN35" s="272" t="s">
        <v>259</v>
      </c>
      <c r="AO35" s="271" t="s">
        <v>258</v>
      </c>
      <c r="AP35" s="272" t="s">
        <v>259</v>
      </c>
      <c r="AQ35" s="271" t="s">
        <v>258</v>
      </c>
      <c r="AR35" s="272" t="s">
        <v>259</v>
      </c>
      <c r="AU35" s="231" t="s">
        <v>269</v>
      </c>
      <c r="AV35" s="273"/>
      <c r="AW35" s="233" t="s">
        <v>258</v>
      </c>
      <c r="AX35" s="234" t="s">
        <v>259</v>
      </c>
      <c r="AY35" s="235" t="s">
        <v>260</v>
      </c>
      <c r="AZ35" s="274" t="s">
        <v>258</v>
      </c>
      <c r="BA35" s="234" t="s">
        <v>259</v>
      </c>
      <c r="BB35" s="235" t="s">
        <v>260</v>
      </c>
      <c r="BC35" s="233" t="s">
        <v>258</v>
      </c>
      <c r="BD35" s="234" t="s">
        <v>259</v>
      </c>
      <c r="BE35" s="235" t="s">
        <v>260</v>
      </c>
      <c r="BF35" s="233" t="s">
        <v>258</v>
      </c>
      <c r="BG35" s="234" t="s">
        <v>259</v>
      </c>
      <c r="BH35" s="235" t="s">
        <v>260</v>
      </c>
      <c r="BI35" s="233" t="s">
        <v>258</v>
      </c>
      <c r="BJ35" s="234" t="s">
        <v>259</v>
      </c>
      <c r="BK35" s="235" t="s">
        <v>260</v>
      </c>
      <c r="BL35" s="233" t="s">
        <v>258</v>
      </c>
      <c r="BM35" s="234" t="s">
        <v>259</v>
      </c>
      <c r="BN35" s="235" t="s">
        <v>260</v>
      </c>
      <c r="BO35" s="233" t="s">
        <v>258</v>
      </c>
      <c r="BP35" s="234" t="s">
        <v>259</v>
      </c>
      <c r="BQ35" s="235" t="s">
        <v>260</v>
      </c>
      <c r="BR35" s="233" t="s">
        <v>258</v>
      </c>
      <c r="BS35" s="234" t="s">
        <v>259</v>
      </c>
      <c r="BT35" s="235" t="s">
        <v>260</v>
      </c>
      <c r="BU35" s="233" t="s">
        <v>258</v>
      </c>
      <c r="BV35" s="234" t="s">
        <v>259</v>
      </c>
      <c r="BW35" s="235" t="s">
        <v>260</v>
      </c>
      <c r="BX35" s="233" t="s">
        <v>258</v>
      </c>
      <c r="BY35" s="234" t="s">
        <v>259</v>
      </c>
      <c r="BZ35" s="235" t="s">
        <v>260</v>
      </c>
      <c r="CA35" s="233" t="s">
        <v>258</v>
      </c>
      <c r="CB35" s="234" t="s">
        <v>259</v>
      </c>
      <c r="CC35" s="235" t="s">
        <v>260</v>
      </c>
      <c r="CD35" s="233" t="s">
        <v>258</v>
      </c>
      <c r="CE35" s="234" t="s">
        <v>259</v>
      </c>
      <c r="CF35" s="235" t="s">
        <v>260</v>
      </c>
      <c r="CG35" s="233" t="s">
        <v>258</v>
      </c>
      <c r="CH35" s="234" t="s">
        <v>259</v>
      </c>
      <c r="CI35" s="235" t="s">
        <v>260</v>
      </c>
      <c r="CJ35" s="233" t="s">
        <v>258</v>
      </c>
      <c r="CK35" s="234" t="s">
        <v>259</v>
      </c>
      <c r="CL35" s="235" t="s">
        <v>260</v>
      </c>
      <c r="CM35" s="233" t="s">
        <v>258</v>
      </c>
      <c r="CN35" s="234" t="s">
        <v>259</v>
      </c>
      <c r="CO35" s="235" t="s">
        <v>260</v>
      </c>
      <c r="CP35" s="233" t="s">
        <v>258</v>
      </c>
      <c r="CQ35" s="234" t="s">
        <v>259</v>
      </c>
      <c r="CR35" s="235" t="s">
        <v>260</v>
      </c>
      <c r="CS35" s="233" t="s">
        <v>258</v>
      </c>
      <c r="CT35" s="234" t="s">
        <v>259</v>
      </c>
      <c r="CU35" s="235" t="s">
        <v>260</v>
      </c>
      <c r="CV35" s="233" t="s">
        <v>258</v>
      </c>
      <c r="CW35" s="234" t="s">
        <v>259</v>
      </c>
      <c r="CX35" s="235" t="s">
        <v>260</v>
      </c>
    </row>
    <row r="36" spans="1:102" ht="12.75">
      <c r="A36" s="1187" t="s">
        <v>271</v>
      </c>
      <c r="B36" s="1188">
        <v>12850000</v>
      </c>
      <c r="C36" s="1193">
        <v>3550000</v>
      </c>
      <c r="D36" s="1194">
        <v>273481.8</v>
      </c>
      <c r="E36" s="1191">
        <f>I36+K36+M36+O36+Q36+S36+U36+W36+Y36+AA36+AC36+AE36+AG36</f>
        <v>0</v>
      </c>
      <c r="F36" s="1192">
        <f t="shared" ref="E36:F40" si="87">H36+J36+L36+N36+P36+R36+T36+V36+X36+Z36+AB36+AD36+AF36+AH36</f>
        <v>134304.51999999999</v>
      </c>
      <c r="G36" s="277">
        <v>6300000</v>
      </c>
      <c r="H36" s="278">
        <v>134304.51999999999</v>
      </c>
      <c r="I36" s="277"/>
      <c r="J36" s="278"/>
      <c r="K36" s="277"/>
      <c r="L36" s="278"/>
      <c r="M36" s="277"/>
      <c r="N36" s="278"/>
      <c r="O36" s="277"/>
      <c r="P36" s="278"/>
      <c r="Q36" s="281"/>
      <c r="R36" s="278"/>
      <c r="S36" s="277"/>
      <c r="T36" s="278"/>
      <c r="U36" s="277"/>
      <c r="V36" s="278"/>
      <c r="W36" s="277"/>
      <c r="X36" s="278"/>
      <c r="Y36" s="277"/>
      <c r="Z36" s="278"/>
      <c r="AA36" s="277"/>
      <c r="AB36" s="278"/>
      <c r="AC36" s="277"/>
      <c r="AD36" s="278"/>
      <c r="AE36" s="277"/>
      <c r="AF36" s="278"/>
      <c r="AG36" s="277"/>
      <c r="AH36" s="278"/>
      <c r="AI36" s="277"/>
      <c r="AJ36" s="278"/>
      <c r="AK36" s="277"/>
      <c r="AL36" s="278"/>
      <c r="AM36" s="277"/>
      <c r="AN36" s="278"/>
      <c r="AO36" s="277"/>
      <c r="AP36" s="278"/>
      <c r="AQ36" s="277"/>
      <c r="AR36" s="278"/>
      <c r="AU36" s="275" t="str">
        <f t="shared" ref="AU36:AV54" si="88">A36</f>
        <v xml:space="preserve">BOŚ </v>
      </c>
      <c r="AV36" s="276">
        <f t="shared" si="88"/>
        <v>12850000</v>
      </c>
      <c r="AW36" s="282">
        <f>SUM($I36,$K36,$M36,$O36,$Q36,$S36,$U36,$W36,$Y36,$AA36,$AC36,$AE36,$AG36)</f>
        <v>0</v>
      </c>
      <c r="AX36" s="283">
        <f>SUM($J36,$L36,$N36,$P36,$R36,$T36,$V36,$X36,$Z36,$AB36,$AD36,$AF36,$AH36)</f>
        <v>0</v>
      </c>
      <c r="AY36" s="278">
        <f>SUM(AW36,AX36)</f>
        <v>0</v>
      </c>
      <c r="AZ36" s="284">
        <f>SUM($K36,$M36,$O36,$Q36,$S36,$U36,$W36,$Y36,$AA36,$AC36,$AE36,$AG36)</f>
        <v>0</v>
      </c>
      <c r="BA36" s="285">
        <f>SUM($L36,$N36,$P36,$R36,$T36,$V36,$X36,$Z36,$AB36,$AD36,$AF36,$AH36)</f>
        <v>0</v>
      </c>
      <c r="BB36" s="278">
        <f>SUM(AZ36,BA36)</f>
        <v>0</v>
      </c>
      <c r="BC36" s="211">
        <f>SUM($M36,$O36,$Q36,$S36,$U36,$W36,$Y36,$AA36,$AC36,$AE36,$AG36)</f>
        <v>0</v>
      </c>
      <c r="BD36" s="285">
        <f>SUM($N36,$P36,$R36,$T36,$V36,$X36,$Z36,$AB36,$AD36,$AF36,$AH36)</f>
        <v>0</v>
      </c>
      <c r="BE36" s="278">
        <f>SUM(BC36,BD36)</f>
        <v>0</v>
      </c>
      <c r="BF36" s="211">
        <f>SUM($O36,$Q36,$S36,$U36,$W36,$Y36,$AA36,$AC36,$AE36,$AG36)</f>
        <v>0</v>
      </c>
      <c r="BG36" s="285">
        <f>SUM($P36,$R36,$T36,$V36,$X36,$Z36,$AB36,$AD36,$AF36,$AH36)</f>
        <v>0</v>
      </c>
      <c r="BH36" s="278">
        <f>SUM(BF36,BG36)</f>
        <v>0</v>
      </c>
      <c r="BI36" s="211">
        <f>SUM($Q36,$S36,$U36,$W36,$Y36,$AA36,$AC36,$AE36,$AG36)</f>
        <v>0</v>
      </c>
      <c r="BJ36" s="285">
        <f>SUM($R36,$T36,$V36,$X36,$Z36,$AB36,$AD36,$AF36,$AH36)</f>
        <v>0</v>
      </c>
      <c r="BK36" s="278">
        <f>SUM(BI36,BJ36)</f>
        <v>0</v>
      </c>
      <c r="BL36" s="211">
        <f>SUM($S36,$U36,$W36,$Y36,$AA36,$AC36,$AE36,$AG36)</f>
        <v>0</v>
      </c>
      <c r="BM36" s="285">
        <f>SUM($T36,$V36,$X36,$Z36,$AB36,$AD36,$AF36,$AH36)</f>
        <v>0</v>
      </c>
      <c r="BN36" s="278">
        <f>SUM(BL36,BM36)</f>
        <v>0</v>
      </c>
      <c r="BO36" s="211">
        <f>SUM($U36,$W36,$Y36,$AA36,$AC36,$AE36,$AG36)</f>
        <v>0</v>
      </c>
      <c r="BP36" s="285">
        <f>SUM($V36,$X36,$Z36,$AB36,$AD36,$AF36,$AH36)</f>
        <v>0</v>
      </c>
      <c r="BQ36" s="278">
        <f>SUM(BO36,BP36)</f>
        <v>0</v>
      </c>
      <c r="BR36" s="211">
        <f>SUM($W36,$Y36,$AA36,$AC36,$AE36,$AG36)</f>
        <v>0</v>
      </c>
      <c r="BS36" s="285">
        <f>SUM($X36,$Z36,$AB36,$AD36,$AF36,$AH36)</f>
        <v>0</v>
      </c>
      <c r="BT36" s="278">
        <f>SUM(BR36,BS36)</f>
        <v>0</v>
      </c>
      <c r="BU36" s="211">
        <f>SUM($Y36,$AA36,$AC36,$AE36,$AG36)</f>
        <v>0</v>
      </c>
      <c r="BV36" s="285">
        <f>SUM($Z36,$AB36,$AD36,$AF36,$AH36)</f>
        <v>0</v>
      </c>
      <c r="BW36" s="278">
        <f>SUM(BU36,BV36)</f>
        <v>0</v>
      </c>
      <c r="BX36" s="211">
        <f>SUM($AA36,$AC36,$AE36,$AG36)</f>
        <v>0</v>
      </c>
      <c r="BY36" s="285">
        <f>SUM($AB36,$AD36,$AF36,$AH36)</f>
        <v>0</v>
      </c>
      <c r="BZ36" s="278">
        <f>SUM(BX36,BY36)</f>
        <v>0</v>
      </c>
      <c r="CA36" s="285">
        <f>SUM($AC36,$AE36,$AG36)</f>
        <v>0</v>
      </c>
      <c r="CB36" s="285">
        <f>SUM($AD36,$AF36,$AH36)</f>
        <v>0</v>
      </c>
      <c r="CC36" s="278">
        <f>SUM(CA36,CB36)</f>
        <v>0</v>
      </c>
      <c r="CD36" s="285">
        <f>SUM($AE36,$AG36)</f>
        <v>0</v>
      </c>
      <c r="CE36" s="285">
        <f>SUM($AF36,$AH36)</f>
        <v>0</v>
      </c>
      <c r="CF36" s="278">
        <f>SUM(CD36,CE36)</f>
        <v>0</v>
      </c>
      <c r="CG36" s="285">
        <f>SUM($AE36,$AG36)</f>
        <v>0</v>
      </c>
      <c r="CH36" s="285">
        <f>SUM($AF36,$AH36)</f>
        <v>0</v>
      </c>
      <c r="CI36" s="278">
        <f>SUM(CG36,CH36)</f>
        <v>0</v>
      </c>
      <c r="CJ36" s="285">
        <f>SUM($AE36,$AG36)</f>
        <v>0</v>
      </c>
      <c r="CK36" s="285">
        <f>SUM($AF36,$AH36)</f>
        <v>0</v>
      </c>
      <c r="CL36" s="278">
        <f>SUM(CJ36,CK36)</f>
        <v>0</v>
      </c>
      <c r="CM36" s="285">
        <f>SUM($AE36,$AG36)</f>
        <v>0</v>
      </c>
      <c r="CN36" s="285">
        <f>SUM($AF36,$AH36)</f>
        <v>0</v>
      </c>
      <c r="CO36" s="278">
        <f>SUM(CM36,CN36)</f>
        <v>0</v>
      </c>
      <c r="CP36" s="285">
        <f>SUM($AE36,$AG36)</f>
        <v>0</v>
      </c>
      <c r="CQ36" s="285">
        <f>SUM($AF36,$AH36)</f>
        <v>0</v>
      </c>
      <c r="CR36" s="278">
        <f>SUM(CP36,CQ36)</f>
        <v>0</v>
      </c>
      <c r="CS36" s="285">
        <f>SUM($AE36,$AG36)</f>
        <v>0</v>
      </c>
      <c r="CT36" s="285">
        <f>SUM($AF36,$AH36)</f>
        <v>0</v>
      </c>
      <c r="CU36" s="278">
        <f>SUM(CS36,CT36)</f>
        <v>0</v>
      </c>
      <c r="CV36" s="285">
        <f>SUM($AE36,$AG36)</f>
        <v>0</v>
      </c>
      <c r="CW36" s="285">
        <f>SUM($AF36,$AH36)</f>
        <v>0</v>
      </c>
      <c r="CX36" s="278">
        <f>SUM(CV36,CW36)</f>
        <v>0</v>
      </c>
    </row>
    <row r="37" spans="1:102" ht="12.75">
      <c r="A37" s="1187" t="s">
        <v>446</v>
      </c>
      <c r="B37" s="1188">
        <v>2000000</v>
      </c>
      <c r="C37" s="1189">
        <v>0</v>
      </c>
      <c r="D37" s="1190">
        <v>73091</v>
      </c>
      <c r="E37" s="1191">
        <f t="shared" si="87"/>
        <v>2000000</v>
      </c>
      <c r="F37" s="1192">
        <f t="shared" si="87"/>
        <v>196181.84</v>
      </c>
      <c r="G37" s="1193"/>
      <c r="H37" s="1194">
        <v>73090.92</v>
      </c>
      <c r="I37" s="1193">
        <v>2000000</v>
      </c>
      <c r="J37" s="1194">
        <f>73090.92+50000</f>
        <v>123090.92</v>
      </c>
      <c r="K37" s="277"/>
      <c r="L37" s="278"/>
      <c r="M37" s="277"/>
      <c r="N37" s="278"/>
      <c r="O37" s="277"/>
      <c r="P37" s="278"/>
      <c r="Q37" s="281"/>
      <c r="R37" s="278"/>
      <c r="S37" s="277"/>
      <c r="T37" s="278"/>
      <c r="U37" s="277"/>
      <c r="V37" s="278"/>
      <c r="W37" s="277"/>
      <c r="X37" s="278"/>
      <c r="Y37" s="277"/>
      <c r="Z37" s="278"/>
      <c r="AA37" s="277"/>
      <c r="AB37" s="278"/>
      <c r="AC37" s="277"/>
      <c r="AD37" s="278"/>
      <c r="AE37" s="277"/>
      <c r="AF37" s="278"/>
      <c r="AG37" s="277"/>
      <c r="AH37" s="278"/>
      <c r="AI37" s="277"/>
      <c r="AJ37" s="278"/>
      <c r="AK37" s="277"/>
      <c r="AL37" s="278"/>
      <c r="AM37" s="277"/>
      <c r="AN37" s="278"/>
      <c r="AO37" s="277"/>
      <c r="AP37" s="278"/>
      <c r="AQ37" s="277"/>
      <c r="AR37" s="278"/>
      <c r="AU37" s="275" t="str">
        <f t="shared" si="88"/>
        <v>BOŚ Bank 2008</v>
      </c>
      <c r="AV37" s="276"/>
      <c r="AW37" s="282">
        <f>SUM($I37,$K37,$M37,$O37,$Q37,$S37,$U37,$W37,$Y37,$AA37,$AC37,$AE37,$AG37)</f>
        <v>2000000</v>
      </c>
      <c r="AX37" s="283">
        <f>SUM($J37,$L37,$N37,$P37,$R37,$T37,$V37,$X37,$Z37,$AB37,$AD37,$AF37,$AH37)</f>
        <v>123090.92</v>
      </c>
      <c r="AY37" s="278">
        <f t="shared" ref="AY37:AY40" si="89">SUM(AW37,AX37)</f>
        <v>2123090.92</v>
      </c>
      <c r="AZ37" s="284">
        <f>SUM($K37,$M37,$O37,$Q37,$S37,$U37,$W37,$Y37,$AA37,$AC37,$AE37,$AG37)</f>
        <v>0</v>
      </c>
      <c r="BA37" s="285">
        <f>SUM($L37,$N37,$P37,$R37,$T37,$V37,$X37,$Z37,$AB37,$AD37,$AF37,$AH37)</f>
        <v>0</v>
      </c>
      <c r="BB37" s="278">
        <f>SUM(AZ37,BA37)</f>
        <v>0</v>
      </c>
      <c r="BC37" s="211">
        <f>SUM($M37,$O37,$Q37,$S37,$U37,$W37,$Y37,$AA37,$AC37,$AE37,$AG37)</f>
        <v>0</v>
      </c>
      <c r="BD37" s="285">
        <f>SUM($N37,$P37,$R37,$T37,$V37,$X37,$Z37,$AB37,$AD37,$AF37,$AH37)</f>
        <v>0</v>
      </c>
      <c r="BE37" s="278">
        <f>SUM(BC37,BD37)</f>
        <v>0</v>
      </c>
      <c r="BF37" s="211">
        <f>SUM($O37,$Q37,$S37,$U37,$W37,$Y37,$AA37,$AC37,$AE37,$AG37)</f>
        <v>0</v>
      </c>
      <c r="BG37" s="285">
        <f>SUM($P37,$R37,$T37,$V37,$X37,$Z37,$AB37,$AD37,$AF37,$AH37)</f>
        <v>0</v>
      </c>
      <c r="BH37" s="278">
        <f>SUM(BF37,BG37)</f>
        <v>0</v>
      </c>
      <c r="BI37" s="211">
        <f>SUM($Q37,$S37,$U37,$W37,$Y37,$AA37,$AC37,$AE37,$AG37)</f>
        <v>0</v>
      </c>
      <c r="BJ37" s="285">
        <f>SUM($R37,$T37,$V37,$X37,$Z37,$AB37,$AD37,$AF37,$AH37)</f>
        <v>0</v>
      </c>
      <c r="BK37" s="278">
        <f>SUM(BI37,BJ37)</f>
        <v>0</v>
      </c>
      <c r="BL37" s="211">
        <f>SUM($S37,$U37,$W37,$Y37,$AA37,$AC37,$AE37,$AG37)</f>
        <v>0</v>
      </c>
      <c r="BM37" s="285">
        <f>SUM($T37,$V37,$X37,$Z37,$AB37,$AD37,$AF37,$AH37)</f>
        <v>0</v>
      </c>
      <c r="BN37" s="278">
        <f>SUM(BL37,BM37)</f>
        <v>0</v>
      </c>
      <c r="BO37" s="211">
        <f>SUM($U37,$W37,$Y37,$AA37,$AC37,$AE37,$AG37)</f>
        <v>0</v>
      </c>
      <c r="BP37" s="285">
        <f>SUM($V37,$X37,$Z37,$AB37,$AD37,$AF37,$AH37)</f>
        <v>0</v>
      </c>
      <c r="BQ37" s="278">
        <f>SUM(BO37,BP37)</f>
        <v>0</v>
      </c>
      <c r="BR37" s="211">
        <f>SUM($W37,$Y37,$AA37,$AC37,$AE37,$AG37)</f>
        <v>0</v>
      </c>
      <c r="BS37" s="285">
        <f>SUM($X37,$Z37,$AB37,$AD37,$AF37,$AH37)</f>
        <v>0</v>
      </c>
      <c r="BT37" s="278">
        <f>SUM(BR37,BS37)</f>
        <v>0</v>
      </c>
      <c r="BU37" s="211">
        <f>SUM($Y37,$AA37,$AC37,$AE37,$AG37)</f>
        <v>0</v>
      </c>
      <c r="BV37" s="285">
        <f>SUM($Z37,$AB37,$AD37,$AF37,$AH37)</f>
        <v>0</v>
      </c>
      <c r="BW37" s="278">
        <f>SUM(BU37,BV37)</f>
        <v>0</v>
      </c>
      <c r="BX37" s="211">
        <f>SUM($AA37,$AC37,$AE37,$AG37)</f>
        <v>0</v>
      </c>
      <c r="BY37" s="285">
        <f>SUM($AB37,$AD37,$AF37,$AH37)</f>
        <v>0</v>
      </c>
      <c r="BZ37" s="278">
        <f>SUM(BX37,BY37)</f>
        <v>0</v>
      </c>
      <c r="CA37" s="285">
        <f>SUM($AC37,$AE37,$AG37)</f>
        <v>0</v>
      </c>
      <c r="CB37" s="285">
        <f>SUM($AD37,$AF37,$AH37)</f>
        <v>0</v>
      </c>
      <c r="CC37" s="278">
        <f>SUM(CA37,CB37)</f>
        <v>0</v>
      </c>
      <c r="CD37" s="285">
        <f>SUM($AE37,$AG37)</f>
        <v>0</v>
      </c>
      <c r="CE37" s="285">
        <f>SUM($AF37,$AH37)</f>
        <v>0</v>
      </c>
      <c r="CF37" s="278">
        <f>SUM(CD37,CE37)</f>
        <v>0</v>
      </c>
      <c r="CG37" s="285">
        <f>SUM($AE37,$AG37)</f>
        <v>0</v>
      </c>
      <c r="CH37" s="285">
        <f>SUM($AF37,$AH37)</f>
        <v>0</v>
      </c>
      <c r="CI37" s="278">
        <f>SUM(CG37,CH37)</f>
        <v>0</v>
      </c>
      <c r="CJ37" s="285">
        <f>SUM($AE37,$AG37)</f>
        <v>0</v>
      </c>
      <c r="CK37" s="285">
        <f>SUM($AF37,$AH37)</f>
        <v>0</v>
      </c>
      <c r="CL37" s="278">
        <f>SUM(CJ37,CK37)</f>
        <v>0</v>
      </c>
      <c r="CM37" s="285">
        <f>SUM($AE37,$AG37)</f>
        <v>0</v>
      </c>
      <c r="CN37" s="285">
        <f>SUM($AF37,$AH37)</f>
        <v>0</v>
      </c>
      <c r="CO37" s="278">
        <f>SUM(CM37,CN37)</f>
        <v>0</v>
      </c>
      <c r="CP37" s="285">
        <f>SUM($AE37,$AG37)</f>
        <v>0</v>
      </c>
      <c r="CQ37" s="285">
        <f>SUM($AF37,$AH37)</f>
        <v>0</v>
      </c>
      <c r="CR37" s="278">
        <f>SUM(CP37,CQ37)</f>
        <v>0</v>
      </c>
      <c r="CS37" s="285">
        <f>SUM($AE37,$AG37)</f>
        <v>0</v>
      </c>
      <c r="CT37" s="285">
        <f>SUM($AF37,$AH37)</f>
        <v>0</v>
      </c>
      <c r="CU37" s="278">
        <f>SUM(CS37,CT37)</f>
        <v>0</v>
      </c>
      <c r="CV37" s="285">
        <f>SUM($AE37,$AG37)</f>
        <v>0</v>
      </c>
      <c r="CW37" s="285">
        <f>SUM($AF37,$AH37)</f>
        <v>0</v>
      </c>
      <c r="CX37" s="278">
        <f>SUM(CV37,CW37)</f>
        <v>0</v>
      </c>
    </row>
    <row r="38" spans="1:102" ht="12.75">
      <c r="A38" s="275" t="s">
        <v>447</v>
      </c>
      <c r="B38" s="276">
        <v>8900000</v>
      </c>
      <c r="C38" s="416">
        <v>0</v>
      </c>
      <c r="D38" s="417">
        <v>559244</v>
      </c>
      <c r="E38" s="279">
        <f t="shared" si="87"/>
        <v>8900000</v>
      </c>
      <c r="F38" s="280">
        <f t="shared" si="87"/>
        <v>1447068.6800000002</v>
      </c>
      <c r="G38" s="277"/>
      <c r="H38" s="278">
        <v>559243.68000000005</v>
      </c>
      <c r="I38" s="277">
        <v>5000000</v>
      </c>
      <c r="J38" s="278">
        <f>527825+50000</f>
        <v>577825</v>
      </c>
      <c r="K38" s="277">
        <v>3000000</v>
      </c>
      <c r="L38" s="278">
        <v>260000</v>
      </c>
      <c r="M38" s="277">
        <f>900000</f>
        <v>900000</v>
      </c>
      <c r="N38" s="278">
        <v>50000</v>
      </c>
      <c r="O38" s="277"/>
      <c r="P38" s="278"/>
      <c r="Q38" s="281"/>
      <c r="R38" s="278"/>
      <c r="S38" s="277"/>
      <c r="T38" s="278"/>
      <c r="U38" s="277"/>
      <c r="V38" s="278"/>
      <c r="W38" s="277"/>
      <c r="X38" s="278"/>
      <c r="Y38" s="277"/>
      <c r="Z38" s="278"/>
      <c r="AA38" s="277"/>
      <c r="AB38" s="278"/>
      <c r="AC38" s="277"/>
      <c r="AD38" s="278"/>
      <c r="AE38" s="277"/>
      <c r="AF38" s="278"/>
      <c r="AG38" s="277"/>
      <c r="AH38" s="278"/>
      <c r="AI38" s="277"/>
      <c r="AJ38" s="278"/>
      <c r="AK38" s="277"/>
      <c r="AL38" s="278"/>
      <c r="AM38" s="277"/>
      <c r="AN38" s="278"/>
      <c r="AO38" s="277"/>
      <c r="AP38" s="278"/>
      <c r="AQ38" s="277"/>
      <c r="AR38" s="278"/>
      <c r="AU38" s="275" t="str">
        <f t="shared" si="88"/>
        <v>ING Bank 2009</v>
      </c>
      <c r="AV38" s="276">
        <f t="shared" si="88"/>
        <v>8900000</v>
      </c>
      <c r="AW38" s="282">
        <f>SUM($I38,$K38,$M38,$O38,$Q38,$S38,$U38,$W38,$Y38,$AA38,$AC38,$AE38,$AG38)</f>
        <v>8900000</v>
      </c>
      <c r="AX38" s="283">
        <f>SUM($J38,$L38,$N38,$P38,$R38,$T38,$V38,$X38,$Z38,$AB38,$AD38,$AF38,$AH38)</f>
        <v>887825</v>
      </c>
      <c r="AY38" s="278">
        <f t="shared" si="89"/>
        <v>9787825</v>
      </c>
      <c r="AZ38" s="284">
        <f>SUM($K38,$M38,$O38,$Q38,$S38,$U38,$W38,$Y38,$AA38,$AC38,$AE38,$AG38)</f>
        <v>3900000</v>
      </c>
      <c r="BA38" s="285">
        <f>SUM($L38,$N38,$P38,$R38,$T38,$V38,$X38,$Z38,$AB38,$AD38,$AF38,$AH38)</f>
        <v>310000</v>
      </c>
      <c r="BB38" s="278">
        <f>SUM(AZ38,BA38)</f>
        <v>4210000</v>
      </c>
      <c r="BC38" s="211">
        <f>SUM($M38,$O38,$Q38,$S38,$U38,$W38,$Y38,$AA38,$AC38,$AE38,$AG38)</f>
        <v>900000</v>
      </c>
      <c r="BD38" s="285">
        <f>SUM($N38,$P38,$R38,$T38,$V38,$X38,$Z38,$AB38,$AD38,$AF38,$AH38)</f>
        <v>50000</v>
      </c>
      <c r="BE38" s="278">
        <f>SUM(BC38,BD38)</f>
        <v>950000</v>
      </c>
      <c r="BF38" s="211">
        <f>SUM($O38,$Q38,$S38,$U38,$W38,$Y38,$AA38,$AC38,$AE38,$AG38)</f>
        <v>0</v>
      </c>
      <c r="BG38" s="285">
        <f>SUM($P38,$R38,$T38,$V38,$X38,$Z38,$AB38,$AD38,$AF38,$AH38)</f>
        <v>0</v>
      </c>
      <c r="BH38" s="278">
        <f>SUM(BF38,BG38)</f>
        <v>0</v>
      </c>
      <c r="BI38" s="211">
        <f>SUM($Q38,$S38,$U38,$W38,$Y38,$AA38,$AC38,$AE38,$AG38)</f>
        <v>0</v>
      </c>
      <c r="BJ38" s="285">
        <f>SUM($R38,$T38,$V38,$X38,$Z38,$AB38,$AD38,$AF38,$AH38)</f>
        <v>0</v>
      </c>
      <c r="BK38" s="278">
        <f>SUM(BI38,BJ38)</f>
        <v>0</v>
      </c>
      <c r="BL38" s="211">
        <f>SUM($S38,$U38,$W38,$Y38,$AA38,$AC38,$AE38,$AG38)</f>
        <v>0</v>
      </c>
      <c r="BM38" s="285">
        <f>SUM($T38,$V38,$X38,$Z38,$AB38,$AD38,$AF38,$AH38)</f>
        <v>0</v>
      </c>
      <c r="BN38" s="278">
        <f>SUM(BL38,BM38)</f>
        <v>0</v>
      </c>
      <c r="BO38" s="211">
        <f>SUM($U38,$W38,$Y38,$AA38,$AC38,$AE38,$AG38)</f>
        <v>0</v>
      </c>
      <c r="BP38" s="285">
        <f>SUM($V38,$X38,$Z38,$AB38,$AD38,$AF38,$AH38)</f>
        <v>0</v>
      </c>
      <c r="BQ38" s="278">
        <f>SUM(BO38,BP38)</f>
        <v>0</v>
      </c>
      <c r="BR38" s="211">
        <f>SUM($W38,$Y38,$AA38,$AC38,$AE38,$AG38)</f>
        <v>0</v>
      </c>
      <c r="BS38" s="285">
        <f>SUM($X38,$Z38,$AB38,$AD38,$AF38,$AH38)</f>
        <v>0</v>
      </c>
      <c r="BT38" s="278">
        <f>SUM(BR38,BS38)</f>
        <v>0</v>
      </c>
      <c r="BU38" s="211">
        <f>SUM($Y38,$AA38,$AC38,$AE38,$AG38)</f>
        <v>0</v>
      </c>
      <c r="BV38" s="285">
        <f>SUM($Z38,$AB38,$AD38,$AF38,$AH38)</f>
        <v>0</v>
      </c>
      <c r="BW38" s="278">
        <f>SUM(BU38,BV38)</f>
        <v>0</v>
      </c>
      <c r="BX38" s="211">
        <f>SUM($AA38,$AC38,$AE38,$AG38)</f>
        <v>0</v>
      </c>
      <c r="BY38" s="285">
        <f>SUM($AB38,$AD38,$AF38,$AH38)</f>
        <v>0</v>
      </c>
      <c r="BZ38" s="278">
        <f>SUM(BX38,BY38)</f>
        <v>0</v>
      </c>
      <c r="CA38" s="285">
        <f>SUM($AC38,$AE38,$AG38)</f>
        <v>0</v>
      </c>
      <c r="CB38" s="285">
        <f>SUM($AD38,$AF38,$AH38)</f>
        <v>0</v>
      </c>
      <c r="CC38" s="278">
        <f>SUM(CA38,CB38)</f>
        <v>0</v>
      </c>
      <c r="CD38" s="285">
        <f>SUM($AE38,$AG38)</f>
        <v>0</v>
      </c>
      <c r="CE38" s="285">
        <f>SUM($AF38,$AH38)</f>
        <v>0</v>
      </c>
      <c r="CF38" s="278">
        <f>SUM(CD38,CE38)</f>
        <v>0</v>
      </c>
      <c r="CG38" s="285">
        <f>SUM($AE38,$AG38)</f>
        <v>0</v>
      </c>
      <c r="CH38" s="285">
        <f>SUM($AF38,$AH38)</f>
        <v>0</v>
      </c>
      <c r="CI38" s="278">
        <f>SUM(CG38,CH38)</f>
        <v>0</v>
      </c>
      <c r="CJ38" s="285">
        <f>SUM($AE38,$AG38)</f>
        <v>0</v>
      </c>
      <c r="CK38" s="285">
        <f>SUM($AF38,$AH38)</f>
        <v>0</v>
      </c>
      <c r="CL38" s="278">
        <f>SUM(CJ38,CK38)</f>
        <v>0</v>
      </c>
      <c r="CM38" s="285">
        <f>SUM($AE38,$AG38)</f>
        <v>0</v>
      </c>
      <c r="CN38" s="285">
        <f>SUM($AF38,$AH38)</f>
        <v>0</v>
      </c>
      <c r="CO38" s="278">
        <f>SUM(CM38,CN38)</f>
        <v>0</v>
      </c>
      <c r="CP38" s="285">
        <f>SUM($AE38,$AG38)</f>
        <v>0</v>
      </c>
      <c r="CQ38" s="285">
        <f>SUM($AF38,$AH38)</f>
        <v>0</v>
      </c>
      <c r="CR38" s="278">
        <f>SUM(CP38,CQ38)</f>
        <v>0</v>
      </c>
      <c r="CS38" s="285">
        <f>SUM($AE38,$AG38)</f>
        <v>0</v>
      </c>
      <c r="CT38" s="285">
        <f>SUM($AF38,$AH38)</f>
        <v>0</v>
      </c>
      <c r="CU38" s="278">
        <f>SUM(CS38,CT38)</f>
        <v>0</v>
      </c>
      <c r="CV38" s="285">
        <f>SUM($AE38,$AG38)</f>
        <v>0</v>
      </c>
      <c r="CW38" s="285">
        <f>SUM($AF38,$AH38)</f>
        <v>0</v>
      </c>
      <c r="CX38" s="278">
        <f>SUM(CV38,CW38)</f>
        <v>0</v>
      </c>
    </row>
    <row r="39" spans="1:102" ht="12.75">
      <c r="A39" s="275" t="s">
        <v>229</v>
      </c>
      <c r="B39" s="276">
        <v>16000000</v>
      </c>
      <c r="C39" s="416">
        <v>0</v>
      </c>
      <c r="D39" s="417">
        <v>818619</v>
      </c>
      <c r="E39" s="279">
        <f t="shared" si="87"/>
        <v>16000000</v>
      </c>
      <c r="F39" s="280">
        <f t="shared" si="87"/>
        <v>3866204.5000000005</v>
      </c>
      <c r="G39" s="277"/>
      <c r="H39" s="278">
        <v>818618.16</v>
      </c>
      <c r="I39" s="277">
        <v>2000000</v>
      </c>
      <c r="J39" s="278">
        <v>818618.16</v>
      </c>
      <c r="K39" s="277"/>
      <c r="L39" s="278">
        <v>640000</v>
      </c>
      <c r="M39" s="277">
        <v>3000000</v>
      </c>
      <c r="N39" s="278">
        <v>700000</v>
      </c>
      <c r="O39" s="277">
        <v>5500000</v>
      </c>
      <c r="P39" s="278">
        <v>562800</v>
      </c>
      <c r="Q39" s="281">
        <v>5500000</v>
      </c>
      <c r="R39" s="278">
        <v>326168.18</v>
      </c>
      <c r="S39" s="277"/>
      <c r="T39" s="278"/>
      <c r="U39" s="277"/>
      <c r="V39" s="278"/>
      <c r="W39" s="277"/>
      <c r="X39" s="278"/>
      <c r="Y39" s="277"/>
      <c r="Z39" s="278"/>
      <c r="AA39" s="277"/>
      <c r="AB39" s="278"/>
      <c r="AC39" s="277"/>
      <c r="AD39" s="278"/>
      <c r="AE39" s="277"/>
      <c r="AF39" s="278"/>
      <c r="AG39" s="277"/>
      <c r="AH39" s="278"/>
      <c r="AI39" s="277"/>
      <c r="AJ39" s="278"/>
      <c r="AK39" s="277"/>
      <c r="AL39" s="278"/>
      <c r="AM39" s="277"/>
      <c r="AN39" s="278"/>
      <c r="AO39" s="277"/>
      <c r="AP39" s="278"/>
      <c r="AQ39" s="277"/>
      <c r="AR39" s="278"/>
      <c r="AU39" s="275" t="str">
        <f t="shared" si="88"/>
        <v>Nordea Bank 2010</v>
      </c>
      <c r="AV39" s="276">
        <f t="shared" si="88"/>
        <v>16000000</v>
      </c>
      <c r="AW39" s="282">
        <f>SUM($I39,$K39,$M39,$O39,$Q39,$S39,$U39,$W39,$Y39,$AA39,$AC39,$AE39,$AG39)</f>
        <v>16000000</v>
      </c>
      <c r="AX39" s="283">
        <f>SUM($J39,$L39,$N39,$P39,$R39,$T39,$V39,$X39,$Z39,$AB39,$AD39,$AF39,$AH39)</f>
        <v>3047586.3400000003</v>
      </c>
      <c r="AY39" s="278">
        <f t="shared" si="89"/>
        <v>19047586.34</v>
      </c>
      <c r="AZ39" s="284">
        <f>SUM($K39,$M39,$O39,$Q39,$S39,$U39,$W39,$Y39,$AA39,$AC39,$AE39,$AG39)</f>
        <v>14000000</v>
      </c>
      <c r="BA39" s="285">
        <f>SUM($L39,$N39,$P39,$R39,$T39,$V39,$X39,$Z39,$AB39,$AD39,$AF39,$AH39)</f>
        <v>2228968.1800000002</v>
      </c>
      <c r="BB39" s="278">
        <f>SUM(AZ39,BA39)</f>
        <v>16228968.18</v>
      </c>
      <c r="BC39" s="211">
        <f>SUM($M39,$O39,$Q39,$S39,$U39,$W39,$Y39,$AA39,$AC39,$AE39,$AG39)</f>
        <v>14000000</v>
      </c>
      <c r="BD39" s="285">
        <f>SUM($N39,$P39,$R39,$T39,$V39,$X39,$Z39,$AB39,$AD39,$AF39,$AH39)</f>
        <v>1588968.18</v>
      </c>
      <c r="BE39" s="278">
        <f>SUM(BC39,BD39)</f>
        <v>15588968.18</v>
      </c>
      <c r="BF39" s="211">
        <f>SUM($O39,$Q39,$S39,$U39,$W39,$Y39,$AA39,$AC39,$AE39,$AG39)</f>
        <v>11000000</v>
      </c>
      <c r="BG39" s="285">
        <f>SUM($P39,$R39,$T39,$V39,$X39,$Z39,$AB39,$AD39,$AF39,$AH39)</f>
        <v>888968.17999999993</v>
      </c>
      <c r="BH39" s="278">
        <f>SUM(BF39,BG39)</f>
        <v>11888968.18</v>
      </c>
      <c r="BI39" s="211">
        <f>SUM($Q39,$S39,$U39,$W39,$Y39,$AA39,$AC39,$AE39,$AG39)</f>
        <v>5500000</v>
      </c>
      <c r="BJ39" s="285">
        <f>SUM($R39,$T39,$V39,$X39,$Z39,$AB39,$AD39,$AF39,$AH39)</f>
        <v>326168.18</v>
      </c>
      <c r="BK39" s="278">
        <f>SUM(BI39,BJ39)</f>
        <v>5826168.1799999997</v>
      </c>
      <c r="BL39" s="211">
        <f>SUM($S39,$U39,$W39,$Y39,$AA39,$AC39,$AE39,$AG39)</f>
        <v>0</v>
      </c>
      <c r="BM39" s="285">
        <f>SUM($T39,$V39,$X39,$Z39,$AB39,$AD39,$AF39,$AH39)</f>
        <v>0</v>
      </c>
      <c r="BN39" s="278">
        <f>SUM(BL39,BM39)</f>
        <v>0</v>
      </c>
      <c r="BO39" s="211">
        <f>SUM($U39,$W39,$Y39,$AA39,$AC39,$AE39,$AG39)</f>
        <v>0</v>
      </c>
      <c r="BP39" s="285">
        <f>SUM($V39,$X39,$Z39,$AB39,$AD39,$AF39,$AH39)</f>
        <v>0</v>
      </c>
      <c r="BQ39" s="278">
        <f>SUM(BO39,BP39)</f>
        <v>0</v>
      </c>
      <c r="BR39" s="211">
        <f>SUM($W39,$Y39,$AA39,$AC39,$AE39,$AG39)</f>
        <v>0</v>
      </c>
      <c r="BS39" s="285">
        <f>SUM($X39,$Z39,$AB39,$AD39,$AF39,$AH39)</f>
        <v>0</v>
      </c>
      <c r="BT39" s="278">
        <f>SUM(BR39,BS39)</f>
        <v>0</v>
      </c>
      <c r="BU39" s="211">
        <f>SUM($Y39,$AA39,$AC39,$AE39,$AG39)</f>
        <v>0</v>
      </c>
      <c r="BV39" s="285">
        <f>SUM($Z39,$AB39,$AD39,$AF39,$AH39)</f>
        <v>0</v>
      </c>
      <c r="BW39" s="278">
        <f>SUM(BU39,BV39)</f>
        <v>0</v>
      </c>
      <c r="BX39" s="211">
        <f>SUM($AA39,$AC39,$AE39,$AG39)</f>
        <v>0</v>
      </c>
      <c r="BY39" s="285">
        <f>SUM($AB39,$AD39,$AF39,$AH39)</f>
        <v>0</v>
      </c>
      <c r="BZ39" s="278">
        <f>SUM(BX39,BY39)</f>
        <v>0</v>
      </c>
      <c r="CA39" s="285">
        <f>SUM($AC39,$AE39,$AG39)</f>
        <v>0</v>
      </c>
      <c r="CB39" s="285">
        <f>SUM($AD39,$AF39,$AH39)</f>
        <v>0</v>
      </c>
      <c r="CC39" s="278">
        <f>SUM(CA39,CB39)</f>
        <v>0</v>
      </c>
      <c r="CD39" s="285">
        <f>SUM($AE39,$AG39)</f>
        <v>0</v>
      </c>
      <c r="CE39" s="285">
        <f>SUM($AF39,$AH39)</f>
        <v>0</v>
      </c>
      <c r="CF39" s="278">
        <f>SUM(CD39,CE39)</f>
        <v>0</v>
      </c>
      <c r="CG39" s="285">
        <f>SUM($AE39,$AG39)</f>
        <v>0</v>
      </c>
      <c r="CH39" s="285">
        <f>SUM($AF39,$AH39)</f>
        <v>0</v>
      </c>
      <c r="CI39" s="278">
        <f>SUM(CG39,CH39)</f>
        <v>0</v>
      </c>
      <c r="CJ39" s="285">
        <f>SUM($AE39,$AG39)</f>
        <v>0</v>
      </c>
      <c r="CK39" s="285">
        <f>SUM($AF39,$AH39)</f>
        <v>0</v>
      </c>
      <c r="CL39" s="278">
        <f>SUM(CJ39,CK39)</f>
        <v>0</v>
      </c>
      <c r="CM39" s="285">
        <f>SUM($AE39,$AG39)</f>
        <v>0</v>
      </c>
      <c r="CN39" s="285">
        <f>SUM($AF39,$AH39)</f>
        <v>0</v>
      </c>
      <c r="CO39" s="278">
        <f>SUM(CM39,CN39)</f>
        <v>0</v>
      </c>
      <c r="CP39" s="285">
        <f>SUM($AE39,$AG39)</f>
        <v>0</v>
      </c>
      <c r="CQ39" s="285">
        <f>SUM($AF39,$AH39)</f>
        <v>0</v>
      </c>
      <c r="CR39" s="278">
        <f>SUM(CP39,CQ39)</f>
        <v>0</v>
      </c>
      <c r="CS39" s="285">
        <f>SUM($AE39,$AG39)</f>
        <v>0</v>
      </c>
      <c r="CT39" s="285">
        <f>SUM($AF39,$AH39)</f>
        <v>0</v>
      </c>
      <c r="CU39" s="278">
        <f>SUM(CS39,CT39)</f>
        <v>0</v>
      </c>
      <c r="CV39" s="285">
        <f>SUM($AE39,$AG39)</f>
        <v>0</v>
      </c>
      <c r="CW39" s="285">
        <f>SUM($AF39,$AH39)</f>
        <v>0</v>
      </c>
      <c r="CX39" s="278">
        <f>SUM(CV39,CW39)</f>
        <v>0</v>
      </c>
    </row>
    <row r="40" spans="1:102" ht="12.75">
      <c r="A40" s="275" t="s">
        <v>222</v>
      </c>
      <c r="B40" s="286">
        <v>10000000</v>
      </c>
      <c r="C40" s="287"/>
      <c r="D40" s="288"/>
      <c r="E40" s="279">
        <f t="shared" si="87"/>
        <v>10000000</v>
      </c>
      <c r="F40" s="280">
        <f t="shared" si="87"/>
        <v>3453268.72</v>
      </c>
      <c r="G40" s="287"/>
      <c r="H40" s="288">
        <v>511636.32</v>
      </c>
      <c r="I40" s="287">
        <v>500000</v>
      </c>
      <c r="J40" s="288">
        <v>602696</v>
      </c>
      <c r="K40" s="287">
        <v>500000</v>
      </c>
      <c r="L40" s="288">
        <v>400000</v>
      </c>
      <c r="M40" s="287"/>
      <c r="N40" s="288">
        <v>450000</v>
      </c>
      <c r="O40" s="287">
        <v>500000</v>
      </c>
      <c r="P40" s="288">
        <v>460472.76</v>
      </c>
      <c r="Q40" s="287">
        <v>500000</v>
      </c>
      <c r="R40" s="288">
        <v>439154.56</v>
      </c>
      <c r="S40" s="287">
        <v>4000000</v>
      </c>
      <c r="T40" s="288">
        <v>409309.08</v>
      </c>
      <c r="U40" s="287">
        <v>4000000</v>
      </c>
      <c r="V40" s="288">
        <v>180000</v>
      </c>
      <c r="W40" s="287"/>
      <c r="X40" s="288"/>
      <c r="Y40" s="287"/>
      <c r="Z40" s="288"/>
      <c r="AA40" s="287"/>
      <c r="AB40" s="288"/>
      <c r="AC40" s="287"/>
      <c r="AD40" s="288"/>
      <c r="AE40" s="287"/>
      <c r="AF40" s="288"/>
      <c r="AG40" s="287"/>
      <c r="AH40" s="288"/>
      <c r="AI40" s="287"/>
      <c r="AJ40" s="288"/>
      <c r="AK40" s="287"/>
      <c r="AL40" s="288"/>
      <c r="AM40" s="287"/>
      <c r="AN40" s="288"/>
      <c r="AO40" s="287"/>
      <c r="AP40" s="288"/>
      <c r="AQ40" s="287"/>
      <c r="AR40" s="288"/>
      <c r="AU40" s="275" t="str">
        <f t="shared" si="88"/>
        <v>Nordea Bank 2011</v>
      </c>
      <c r="AV40" s="276">
        <f t="shared" si="88"/>
        <v>10000000</v>
      </c>
      <c r="AW40" s="282">
        <f>SUM($I40,$K40,$M40,$O40,$Q40,$S40,$U40,$W40,$Y40,$AA40,$AC40,$AE40,$AG40)</f>
        <v>10000000</v>
      </c>
      <c r="AX40" s="283">
        <f>SUM($J40,$L40,$N40,$P40,$R40,$T40,$V40,$X40,$Z40,$AB40,$AD40,$AF40,$AH40)</f>
        <v>2941632.4</v>
      </c>
      <c r="AY40" s="278">
        <f t="shared" si="89"/>
        <v>12941632.4</v>
      </c>
      <c r="AZ40" s="284">
        <f>SUM($K40,$M40,$O40,$Q40,$S40,$U40,$W40,$Y40,$AA40,$AC40,$AE40,$AG40)</f>
        <v>9500000</v>
      </c>
      <c r="BA40" s="285">
        <f>SUM($L40,$N40,$P40,$R40,$T40,$V40,$X40,$Z40,$AB40,$AD40,$AF40,$AH40)</f>
        <v>2338936.4</v>
      </c>
      <c r="BB40" s="278">
        <f>SUM(AZ40,BA40)</f>
        <v>11838936.4</v>
      </c>
      <c r="BC40" s="211">
        <f>SUM($M40,$O40,$Q40,$S40,$U40,$W40,$Y40,$AA40,$AC40,$AE40,$AG40)</f>
        <v>9000000</v>
      </c>
      <c r="BD40" s="285">
        <f>SUM($N40,$P40,$R40,$T40,$V40,$X40,$Z40,$AB40,$AD40,$AF40,$AH40)</f>
        <v>1938936.4000000001</v>
      </c>
      <c r="BE40" s="278">
        <f>SUM(BC40,BD40)</f>
        <v>10938936.4</v>
      </c>
      <c r="BF40" s="211">
        <f>SUM($O40,$Q40,$S40,$U40,$W40,$Y40,$AA40,$AC40,$AE40,$AG40)</f>
        <v>9000000</v>
      </c>
      <c r="BG40" s="285">
        <f>SUM($P40,$R40,$T40,$V40,$X40,$Z40,$AB40,$AD40,$AF40,$AH40)</f>
        <v>1488936.4000000001</v>
      </c>
      <c r="BH40" s="278">
        <f>SUM(BF40,BG40)</f>
        <v>10488936.4</v>
      </c>
      <c r="BI40" s="211">
        <f>SUM($Q40,$S40,$U40,$W40,$Y40,$AA40,$AC40,$AE40,$AG40)</f>
        <v>8500000</v>
      </c>
      <c r="BJ40" s="285">
        <f>SUM($R40,$T40,$V40,$X40,$Z40,$AB40,$AD40,$AF40,$AH40)</f>
        <v>1028463.64</v>
      </c>
      <c r="BK40" s="278">
        <f>SUM(BI40,BJ40)</f>
        <v>9528463.6400000006</v>
      </c>
      <c r="BL40" s="211">
        <f>SUM($S40,$U40,$W40,$Y40,$AA40,$AC40,$AE40,$AG40)</f>
        <v>8000000</v>
      </c>
      <c r="BM40" s="285">
        <f>SUM($T40,$V40,$X40,$Z40,$AB40,$AD40,$AF40,$AH40)</f>
        <v>589309.08000000007</v>
      </c>
      <c r="BN40" s="278">
        <f>SUM(BL40,BM40)</f>
        <v>8589309.0800000001</v>
      </c>
      <c r="BO40" s="211">
        <f>SUM($U40,$W40,$Y40,$AA40,$AC40,$AE40,$AG40)</f>
        <v>4000000</v>
      </c>
      <c r="BP40" s="285">
        <f>SUM($V40,$X40,$Z40,$AB40,$AD40,$AF40,$AH40)</f>
        <v>180000</v>
      </c>
      <c r="BQ40" s="278">
        <f>SUM(BO40,BP40)</f>
        <v>4180000</v>
      </c>
      <c r="BR40" s="211">
        <f>SUM($W40,$Y40,$AA40,$AC40,$AE40,$AG40)</f>
        <v>0</v>
      </c>
      <c r="BS40" s="285">
        <f>SUM($X40,$Z40,$AB40,$AD40,$AF40,$AH40)</f>
        <v>0</v>
      </c>
      <c r="BT40" s="278">
        <f>SUM(BR40,BS40)</f>
        <v>0</v>
      </c>
      <c r="BU40" s="211">
        <f>SUM($Y40,$AA40,$AC40,$AE40,$AG40)</f>
        <v>0</v>
      </c>
      <c r="BV40" s="285">
        <f>SUM($Z40,$AB40,$AD40,$AF40,$AH40)</f>
        <v>0</v>
      </c>
      <c r="BW40" s="278">
        <f>SUM(BU40,BV40)</f>
        <v>0</v>
      </c>
      <c r="BX40" s="211">
        <f>SUM($AA40,$AC40,$AE40,$AG40)</f>
        <v>0</v>
      </c>
      <c r="BY40" s="285">
        <f>SUM($AB40,$AD40,$AF40,$AH40)</f>
        <v>0</v>
      </c>
      <c r="BZ40" s="278">
        <f>SUM(BX40,BY40)</f>
        <v>0</v>
      </c>
      <c r="CA40" s="285">
        <f>SUM($AC40,$AE40,$AG40)</f>
        <v>0</v>
      </c>
      <c r="CB40" s="285">
        <f>SUM($AD40,$AF40,$AH40)</f>
        <v>0</v>
      </c>
      <c r="CC40" s="278">
        <f>SUM(CA40,CB40)</f>
        <v>0</v>
      </c>
      <c r="CD40" s="285">
        <f>SUM($AE40,$AG40)</f>
        <v>0</v>
      </c>
      <c r="CE40" s="285">
        <f>SUM($AF40,$AH40)</f>
        <v>0</v>
      </c>
      <c r="CF40" s="278">
        <f>SUM(CD40,CE40)</f>
        <v>0</v>
      </c>
      <c r="CG40" s="285">
        <f>SUM($AE40,$AG40)</f>
        <v>0</v>
      </c>
      <c r="CH40" s="285">
        <f>SUM($AF40,$AH40)</f>
        <v>0</v>
      </c>
      <c r="CI40" s="278">
        <f>SUM(CG40,CH40)</f>
        <v>0</v>
      </c>
      <c r="CJ40" s="285">
        <f>SUM($AE40,$AG40)</f>
        <v>0</v>
      </c>
      <c r="CK40" s="285">
        <f>SUM($AF40,$AH40)</f>
        <v>0</v>
      </c>
      <c r="CL40" s="278">
        <f>SUM(CJ40,CK40)</f>
        <v>0</v>
      </c>
      <c r="CM40" s="285">
        <f>SUM($AE40,$AG40)</f>
        <v>0</v>
      </c>
      <c r="CN40" s="285">
        <f>SUM($AF40,$AH40)</f>
        <v>0</v>
      </c>
      <c r="CO40" s="278">
        <f>SUM(CM40,CN40)</f>
        <v>0</v>
      </c>
      <c r="CP40" s="285">
        <f>SUM($AE40,$AG40)</f>
        <v>0</v>
      </c>
      <c r="CQ40" s="285">
        <f>SUM($AF40,$AH40)</f>
        <v>0</v>
      </c>
      <c r="CR40" s="278">
        <f>SUM(CP40,CQ40)</f>
        <v>0</v>
      </c>
      <c r="CS40" s="285">
        <f>SUM($AE40,$AG40)</f>
        <v>0</v>
      </c>
      <c r="CT40" s="285">
        <f>SUM($AF40,$AH40)</f>
        <v>0</v>
      </c>
      <c r="CU40" s="278">
        <f>SUM(CS40,CT40)</f>
        <v>0</v>
      </c>
      <c r="CV40" s="285">
        <f>SUM($AE40,$AG40)</f>
        <v>0</v>
      </c>
      <c r="CW40" s="285">
        <f>SUM($AF40,$AH40)</f>
        <v>0</v>
      </c>
      <c r="CX40" s="278">
        <f>SUM(CV40,CW40)</f>
        <v>0</v>
      </c>
    </row>
    <row r="41" spans="1:102" ht="12.75">
      <c r="A41" s="289"/>
      <c r="B41" s="290"/>
      <c r="C41" s="291"/>
      <c r="D41" s="292"/>
      <c r="E41" s="279"/>
      <c r="F41" s="280"/>
      <c r="G41" s="291"/>
      <c r="H41" s="292"/>
      <c r="I41" s="291"/>
      <c r="J41" s="292"/>
      <c r="K41" s="291"/>
      <c r="L41" s="292"/>
      <c r="M41" s="291"/>
      <c r="N41" s="292"/>
      <c r="O41" s="291"/>
      <c r="P41" s="292"/>
      <c r="Q41" s="291"/>
      <c r="R41" s="292"/>
      <c r="S41" s="291"/>
      <c r="T41" s="292"/>
      <c r="U41" s="291"/>
      <c r="V41" s="292"/>
      <c r="W41" s="291"/>
      <c r="X41" s="292"/>
      <c r="Y41" s="291"/>
      <c r="Z41" s="292"/>
      <c r="AA41" s="291"/>
      <c r="AB41" s="292"/>
      <c r="AC41" s="291"/>
      <c r="AD41" s="292"/>
      <c r="AE41" s="291"/>
      <c r="AF41" s="292"/>
      <c r="AG41" s="291"/>
      <c r="AH41" s="292"/>
      <c r="AI41" s="291"/>
      <c r="AJ41" s="292"/>
      <c r="AK41" s="291"/>
      <c r="AL41" s="292"/>
      <c r="AM41" s="291"/>
      <c r="AN41" s="292"/>
      <c r="AO41" s="291"/>
      <c r="AP41" s="292"/>
      <c r="AQ41" s="291"/>
      <c r="AR41" s="292"/>
      <c r="AU41" s="559"/>
      <c r="AV41" s="276"/>
      <c r="AW41" s="282"/>
      <c r="AX41" s="283"/>
      <c r="AY41" s="278"/>
      <c r="AZ41" s="284"/>
      <c r="BA41" s="285"/>
      <c r="BB41" s="552"/>
      <c r="BC41" s="209"/>
      <c r="BD41" s="285"/>
      <c r="BE41" s="552"/>
      <c r="BF41" s="209"/>
      <c r="BG41" s="285"/>
      <c r="BH41" s="552"/>
      <c r="BI41" s="209"/>
      <c r="BJ41" s="285"/>
      <c r="BK41" s="552"/>
      <c r="BL41" s="209"/>
      <c r="BM41" s="285"/>
      <c r="BN41" s="552"/>
      <c r="BO41" s="209"/>
      <c r="BP41" s="285"/>
      <c r="BQ41" s="552"/>
      <c r="BR41" s="209"/>
      <c r="BS41" s="285"/>
      <c r="BT41" s="552"/>
      <c r="BU41" s="209"/>
      <c r="BV41" s="285"/>
      <c r="BW41" s="552"/>
      <c r="BX41" s="209"/>
      <c r="BY41" s="285"/>
      <c r="BZ41" s="552"/>
      <c r="CA41" s="285"/>
      <c r="CB41" s="285"/>
      <c r="CC41" s="552"/>
      <c r="CD41" s="285"/>
      <c r="CE41" s="285"/>
      <c r="CF41" s="552"/>
      <c r="CG41" s="285"/>
      <c r="CH41" s="285"/>
      <c r="CI41" s="552"/>
      <c r="CJ41" s="285"/>
      <c r="CK41" s="285"/>
      <c r="CL41" s="552"/>
      <c r="CM41" s="285"/>
      <c r="CN41" s="285"/>
      <c r="CO41" s="552"/>
      <c r="CP41" s="285"/>
      <c r="CQ41" s="285"/>
      <c r="CR41" s="552"/>
      <c r="CS41" s="285"/>
      <c r="CT41" s="285"/>
      <c r="CU41" s="552"/>
      <c r="CV41" s="285"/>
      <c r="CW41" s="285"/>
      <c r="CX41" s="552"/>
    </row>
    <row r="42" spans="1:102" s="560" customFormat="1" ht="12.75">
      <c r="A42" s="553"/>
      <c r="B42" s="554"/>
      <c r="C42" s="555"/>
      <c r="D42" s="556"/>
      <c r="E42" s="557"/>
      <c r="F42" s="558"/>
      <c r="G42" s="555">
        <f>SUM(G36:G40)</f>
        <v>6300000</v>
      </c>
      <c r="H42" s="556">
        <f t="shared" ref="H42:AH42" si="90">SUM(H36:H40)</f>
        <v>2096893.6000000003</v>
      </c>
      <c r="I42" s="555">
        <f t="shared" si="90"/>
        <v>9500000</v>
      </c>
      <c r="J42" s="556">
        <f t="shared" si="90"/>
        <v>2122230.08</v>
      </c>
      <c r="K42" s="555">
        <f t="shared" si="90"/>
        <v>3500000</v>
      </c>
      <c r="L42" s="556">
        <f t="shared" si="90"/>
        <v>1300000</v>
      </c>
      <c r="M42" s="555">
        <f t="shared" si="90"/>
        <v>3900000</v>
      </c>
      <c r="N42" s="556">
        <f t="shared" si="90"/>
        <v>1200000</v>
      </c>
      <c r="O42" s="555">
        <f t="shared" si="90"/>
        <v>6000000</v>
      </c>
      <c r="P42" s="556">
        <f t="shared" si="90"/>
        <v>1023272.76</v>
      </c>
      <c r="Q42" s="555">
        <f t="shared" si="90"/>
        <v>6000000</v>
      </c>
      <c r="R42" s="556">
        <f t="shared" si="90"/>
        <v>765322.74</v>
      </c>
      <c r="S42" s="555">
        <f t="shared" si="90"/>
        <v>4000000</v>
      </c>
      <c r="T42" s="556">
        <f t="shared" si="90"/>
        <v>409309.08</v>
      </c>
      <c r="U42" s="555">
        <f t="shared" si="90"/>
        <v>4000000</v>
      </c>
      <c r="V42" s="556">
        <f t="shared" si="90"/>
        <v>180000</v>
      </c>
      <c r="W42" s="555">
        <f t="shared" si="90"/>
        <v>0</v>
      </c>
      <c r="X42" s="556">
        <f t="shared" si="90"/>
        <v>0</v>
      </c>
      <c r="Y42" s="555">
        <f t="shared" si="90"/>
        <v>0</v>
      </c>
      <c r="Z42" s="556">
        <f t="shared" si="90"/>
        <v>0</v>
      </c>
      <c r="AA42" s="555">
        <f t="shared" si="90"/>
        <v>0</v>
      </c>
      <c r="AB42" s="556">
        <f t="shared" si="90"/>
        <v>0</v>
      </c>
      <c r="AC42" s="555">
        <f t="shared" si="90"/>
        <v>0</v>
      </c>
      <c r="AD42" s="556">
        <f t="shared" si="90"/>
        <v>0</v>
      </c>
      <c r="AE42" s="555">
        <f t="shared" si="90"/>
        <v>0</v>
      </c>
      <c r="AF42" s="556">
        <f t="shared" si="90"/>
        <v>0</v>
      </c>
      <c r="AG42" s="555">
        <f t="shared" si="90"/>
        <v>0</v>
      </c>
      <c r="AH42" s="556">
        <f t="shared" si="90"/>
        <v>0</v>
      </c>
      <c r="AI42" s="555">
        <f t="shared" ref="AI42:AR42" si="91">SUM(AI36:AI40)</f>
        <v>0</v>
      </c>
      <c r="AJ42" s="556">
        <f t="shared" si="91"/>
        <v>0</v>
      </c>
      <c r="AK42" s="555">
        <f t="shared" si="91"/>
        <v>0</v>
      </c>
      <c r="AL42" s="556">
        <f t="shared" si="91"/>
        <v>0</v>
      </c>
      <c r="AM42" s="555">
        <f t="shared" si="91"/>
        <v>0</v>
      </c>
      <c r="AN42" s="556">
        <f t="shared" si="91"/>
        <v>0</v>
      </c>
      <c r="AO42" s="555">
        <f t="shared" si="91"/>
        <v>0</v>
      </c>
      <c r="AP42" s="556">
        <f t="shared" si="91"/>
        <v>0</v>
      </c>
      <c r="AQ42" s="555">
        <f t="shared" si="91"/>
        <v>0</v>
      </c>
      <c r="AR42" s="556">
        <f t="shared" si="91"/>
        <v>0</v>
      </c>
      <c r="AU42" s="561"/>
      <c r="AV42" s="562"/>
      <c r="AW42" s="563"/>
      <c r="AX42" s="564"/>
      <c r="AY42" s="565"/>
      <c r="AZ42" s="566"/>
      <c r="BA42" s="567"/>
      <c r="BB42" s="568"/>
      <c r="BC42" s="564"/>
      <c r="BD42" s="567"/>
      <c r="BE42" s="568"/>
      <c r="BF42" s="564"/>
      <c r="BG42" s="567"/>
      <c r="BH42" s="568"/>
      <c r="BI42" s="564"/>
      <c r="BJ42" s="567"/>
      <c r="BK42" s="568"/>
      <c r="BL42" s="564"/>
      <c r="BM42" s="567"/>
      <c r="BN42" s="568"/>
      <c r="BO42" s="564"/>
      <c r="BP42" s="567"/>
      <c r="BQ42" s="568"/>
      <c r="BR42" s="564"/>
      <c r="BS42" s="567"/>
      <c r="BT42" s="568"/>
      <c r="BU42" s="564"/>
      <c r="BV42" s="567"/>
      <c r="BW42" s="568"/>
      <c r="BX42" s="564"/>
      <c r="BY42" s="567"/>
      <c r="BZ42" s="568"/>
      <c r="CA42" s="567"/>
      <c r="CB42" s="567"/>
      <c r="CC42" s="568"/>
      <c r="CD42" s="567"/>
      <c r="CE42" s="567"/>
      <c r="CF42" s="568"/>
      <c r="CG42" s="567"/>
      <c r="CH42" s="567"/>
      <c r="CI42" s="568"/>
      <c r="CJ42" s="567"/>
      <c r="CK42" s="567"/>
      <c r="CL42" s="568"/>
      <c r="CM42" s="567"/>
      <c r="CN42" s="567"/>
      <c r="CO42" s="568"/>
      <c r="CP42" s="567"/>
      <c r="CQ42" s="567"/>
      <c r="CR42" s="568"/>
      <c r="CS42" s="567"/>
      <c r="CT42" s="567"/>
      <c r="CU42" s="568"/>
      <c r="CV42" s="567"/>
      <c r="CW42" s="567"/>
      <c r="CX42" s="568"/>
    </row>
    <row r="43" spans="1:102" ht="12.75">
      <c r="A43" s="289"/>
      <c r="B43" s="290"/>
      <c r="C43" s="291"/>
      <c r="D43" s="292"/>
      <c r="E43" s="279">
        <f>G43+I43+K43+M43+O43+Q43+S43+U43+W43+Y43+AA43+AC43+AE43+AG43</f>
        <v>0</v>
      </c>
      <c r="F43" s="280">
        <f>H43+J43+L43+N43+P43+R43+T43+V43+X43+Z43+AB43+AD43+AF43+AH43</f>
        <v>0</v>
      </c>
      <c r="G43" s="291"/>
      <c r="H43" s="292"/>
      <c r="I43" s="291"/>
      <c r="J43" s="292"/>
      <c r="K43" s="291"/>
      <c r="L43" s="292"/>
      <c r="M43" s="291"/>
      <c r="N43" s="292"/>
      <c r="O43" s="291"/>
      <c r="P43" s="292"/>
      <c r="Q43" s="291"/>
      <c r="R43" s="292"/>
      <c r="S43" s="291"/>
      <c r="T43" s="292"/>
      <c r="U43" s="291"/>
      <c r="V43" s="292"/>
      <c r="W43" s="291"/>
      <c r="X43" s="292"/>
      <c r="Y43" s="291"/>
      <c r="Z43" s="292"/>
      <c r="AA43" s="291"/>
      <c r="AB43" s="292"/>
      <c r="AC43" s="291"/>
      <c r="AD43" s="292"/>
      <c r="AE43" s="291"/>
      <c r="AF43" s="292"/>
      <c r="AG43" s="291"/>
      <c r="AH43" s="292"/>
      <c r="AI43" s="291"/>
      <c r="AJ43" s="292"/>
      <c r="AK43" s="291"/>
      <c r="AL43" s="292"/>
      <c r="AM43" s="291"/>
      <c r="AN43" s="292"/>
      <c r="AO43" s="291"/>
      <c r="AP43" s="292"/>
      <c r="AQ43" s="291"/>
      <c r="AR43" s="292"/>
      <c r="AU43" s="293"/>
      <c r="AV43" s="276"/>
      <c r="AW43" s="282"/>
      <c r="AX43" s="285"/>
      <c r="AY43" s="278"/>
      <c r="AZ43" s="283"/>
      <c r="BA43" s="285"/>
      <c r="BB43" s="294"/>
      <c r="BC43" s="206"/>
      <c r="BD43" s="285"/>
      <c r="BE43" s="294"/>
      <c r="BF43" s="206"/>
      <c r="BG43" s="285"/>
      <c r="BH43" s="294"/>
      <c r="BI43" s="206"/>
      <c r="BJ43" s="285"/>
      <c r="BK43" s="294"/>
      <c r="BL43" s="206"/>
      <c r="BM43" s="285"/>
      <c r="BN43" s="294"/>
      <c r="BO43" s="206"/>
      <c r="BP43" s="285"/>
      <c r="BQ43" s="294"/>
      <c r="BR43" s="206"/>
      <c r="BS43" s="285"/>
      <c r="BT43" s="294"/>
      <c r="BU43" s="206"/>
      <c r="BV43" s="285"/>
      <c r="BW43" s="294"/>
      <c r="BX43" s="206"/>
      <c r="BY43" s="285"/>
      <c r="BZ43" s="294"/>
      <c r="CA43" s="285"/>
      <c r="CB43" s="285"/>
      <c r="CC43" s="294"/>
      <c r="CD43" s="285"/>
      <c r="CE43" s="285"/>
      <c r="CF43" s="294"/>
      <c r="CG43" s="285"/>
      <c r="CH43" s="285"/>
      <c r="CI43" s="294"/>
      <c r="CJ43" s="285"/>
      <c r="CK43" s="285"/>
      <c r="CL43" s="294"/>
      <c r="CM43" s="285"/>
      <c r="CN43" s="285"/>
      <c r="CO43" s="294"/>
      <c r="CP43" s="285"/>
      <c r="CQ43" s="285"/>
      <c r="CR43" s="294"/>
      <c r="CS43" s="285"/>
      <c r="CT43" s="285"/>
      <c r="CU43" s="294"/>
      <c r="CV43" s="285"/>
      <c r="CW43" s="285"/>
      <c r="CX43" s="294"/>
    </row>
    <row r="44" spans="1:102" ht="12.75">
      <c r="A44" s="289" t="s">
        <v>448</v>
      </c>
      <c r="B44" s="290">
        <f>G44+I44+K44+M44+O44+Q44+S44+U44+W44+Y44+AA44+AC44+AE44+AG44</f>
        <v>9000000</v>
      </c>
      <c r="C44" s="291">
        <v>0</v>
      </c>
      <c r="D44" s="292">
        <v>0</v>
      </c>
      <c r="E44" s="279">
        <f>G44+I44+K44+M44+O44+Q44+S44+U44+W44+Y44+AA44+AC44+AE44+AG44</f>
        <v>9000000</v>
      </c>
      <c r="F44" s="280">
        <f>H44+J44+L44+N44+P44+R44+T44+V44+X44+Z44+AB44+AD44+AF44+AH44</f>
        <v>3697770.2300000004</v>
      </c>
      <c r="G44" s="291">
        <v>0</v>
      </c>
      <c r="H44" s="292">
        <v>0</v>
      </c>
      <c r="I44" s="291">
        <v>0</v>
      </c>
      <c r="J44" s="292">
        <f>358087.45+163500</f>
        <v>521587.45</v>
      </c>
      <c r="K44" s="291">
        <v>0</v>
      </c>
      <c r="L44" s="292">
        <v>450000</v>
      </c>
      <c r="M44" s="291"/>
      <c r="N44" s="292">
        <v>500000</v>
      </c>
      <c r="O44" s="291">
        <v>0</v>
      </c>
      <c r="P44" s="292">
        <f>358087.45+163500</f>
        <v>521587.45</v>
      </c>
      <c r="Q44" s="291">
        <v>0</v>
      </c>
      <c r="R44" s="292">
        <f>358087.45+163500</f>
        <v>521587.45</v>
      </c>
      <c r="S44" s="291">
        <v>2000000</v>
      </c>
      <c r="T44" s="292">
        <f>358087.45+163500</f>
        <v>521587.45</v>
      </c>
      <c r="U44" s="291">
        <f>2000000+1000000</f>
        <v>3000000</v>
      </c>
      <c r="V44" s="292">
        <f>264287.47+163500</f>
        <v>427787.47</v>
      </c>
      <c r="W44" s="291">
        <f>3000000+1000000</f>
        <v>4000000</v>
      </c>
      <c r="X44" s="292">
        <f>153432.96+80200</f>
        <v>233632.96</v>
      </c>
      <c r="Y44" s="291">
        <v>0</v>
      </c>
      <c r="Z44" s="292">
        <v>0</v>
      </c>
      <c r="AA44" s="291">
        <v>0</v>
      </c>
      <c r="AB44" s="292">
        <v>0</v>
      </c>
      <c r="AC44" s="291"/>
      <c r="AD44" s="292"/>
      <c r="AE44" s="291"/>
      <c r="AF44" s="292"/>
      <c r="AG44" s="291"/>
      <c r="AH44" s="292"/>
      <c r="AI44" s="291"/>
      <c r="AJ44" s="292"/>
      <c r="AK44" s="291"/>
      <c r="AL44" s="292"/>
      <c r="AM44" s="291"/>
      <c r="AN44" s="292"/>
      <c r="AO44" s="291"/>
      <c r="AP44" s="292"/>
      <c r="AQ44" s="291"/>
      <c r="AR44" s="292"/>
      <c r="AU44" s="275" t="str">
        <f t="shared" si="88"/>
        <v>NORDEA 2012</v>
      </c>
      <c r="AV44" s="276"/>
      <c r="AW44" s="282">
        <f>SUM($I44,$K44,$M44,$O44,$Q44,$S44,$U44,$W44,$Y44,$AA44,$AC44,$AE44,$AG44)</f>
        <v>9000000</v>
      </c>
      <c r="AX44" s="283">
        <f>SUM($J44,$L44,$N44,$P44,$R44,$T44,$V44,$X44,$Z44,$AB44,$AD44,$AF44,$AH44)</f>
        <v>3697770.2300000004</v>
      </c>
      <c r="AY44" s="278">
        <f t="shared" ref="AY44" si="92">SUM(AW44,AX44)</f>
        <v>12697770.23</v>
      </c>
      <c r="AZ44" s="284">
        <f>SUM($K44,$M44,$O44,$Q44,$S44,$U44,$W44,$Y44,$AA44,$AC44,$AE44,$AG44)</f>
        <v>9000000</v>
      </c>
      <c r="BA44" s="285">
        <f>SUM($L44,$N44,$P44,$R44,$T44,$V44,$X44,$Z44,$AB44,$AD44,$AF44,$AH44)</f>
        <v>3176182.7800000003</v>
      </c>
      <c r="BB44" s="278">
        <f>SUM(AZ44,BA44)</f>
        <v>12176182.780000001</v>
      </c>
      <c r="BC44" s="211">
        <f>SUM($M44,$O44,$Q44,$S44,$U44,$W44,$Y44,$AA44,$AC44,$AE44,$AG44)</f>
        <v>9000000</v>
      </c>
      <c r="BD44" s="285">
        <f>SUM($N44,$P44,$R44,$T44,$V44,$X44,$Z44,$AB44,$AD44,$AF44,$AH44)</f>
        <v>2726182.78</v>
      </c>
      <c r="BE44" s="278">
        <f>SUM(BC44,BD44)</f>
        <v>11726182.779999999</v>
      </c>
      <c r="BF44" s="211">
        <f>SUM($O44,$Q44,$S44,$U44,$W44,$Y44,$AA44,$AC44,$AE44,$AG44)</f>
        <v>9000000</v>
      </c>
      <c r="BG44" s="285">
        <f>SUM($P44,$R44,$T44,$V44,$X44,$Z44,$AB44,$AD44,$AF44,$AH44)</f>
        <v>2226182.7800000003</v>
      </c>
      <c r="BH44" s="278">
        <f>SUM(BF44,BG44)</f>
        <v>11226182.780000001</v>
      </c>
      <c r="BI44" s="211">
        <f>SUM($Q44,$S44,$U44,$W44,$Y44,$AA44,$AC44,$AE44,$AG44)</f>
        <v>9000000</v>
      </c>
      <c r="BJ44" s="285">
        <f>SUM($R44,$T44,$V44,$X44,$Z44,$AB44,$AD44,$AF44,$AH44)</f>
        <v>1704595.33</v>
      </c>
      <c r="BK44" s="278">
        <f>SUM(BI44,BJ44)</f>
        <v>10704595.33</v>
      </c>
      <c r="BL44" s="211">
        <f>SUM($S44,$U44,$W44,$Y44,$AA44,$AC44,$AE44,$AG44)</f>
        <v>9000000</v>
      </c>
      <c r="BM44" s="285">
        <f>SUM($T44,$V44,$X44,$Z44,$AB44,$AD44,$AF44,$AH44)</f>
        <v>1183007.8799999999</v>
      </c>
      <c r="BN44" s="278">
        <f>SUM(BL44,BM44)</f>
        <v>10183007.879999999</v>
      </c>
      <c r="BO44" s="211">
        <f>SUM($U44,$W44,$Y44,$AA44,$AC44,$AE44,$AG44)</f>
        <v>7000000</v>
      </c>
      <c r="BP44" s="285">
        <f>SUM($V44,$X44,$Z44,$AB44,$AD44,$AF44,$AH44)</f>
        <v>661420.42999999993</v>
      </c>
      <c r="BQ44" s="278">
        <f>SUM(BO44,BP44)</f>
        <v>7661420.4299999997</v>
      </c>
      <c r="BR44" s="211">
        <f>SUM($W44,$Y44,$AA44,$AC44,$AE44,$AG44)</f>
        <v>4000000</v>
      </c>
      <c r="BS44" s="285">
        <f>SUM($X44,$Z44,$AB44,$AD44,$AF44,$AH44)</f>
        <v>233632.96</v>
      </c>
      <c r="BT44" s="278">
        <f>SUM(BR44,BS44)</f>
        <v>4233632.96</v>
      </c>
      <c r="BU44" s="211">
        <f>SUM($Y44,$AA44,$AC44,$AE44,$AG44)</f>
        <v>0</v>
      </c>
      <c r="BV44" s="285">
        <f>SUM($Z44,$AB44,$AD44,$AF44,$AH44)</f>
        <v>0</v>
      </c>
      <c r="BW44" s="278">
        <f>SUM(BU44,BV44)</f>
        <v>0</v>
      </c>
      <c r="BX44" s="211">
        <f>SUM($AA44,$AC44,$AE44,$AG44)</f>
        <v>0</v>
      </c>
      <c r="BY44" s="285">
        <f>SUM($AB44,$AD44,$AF44,$AH44)</f>
        <v>0</v>
      </c>
      <c r="BZ44" s="278">
        <f>SUM(BX44,BY44)</f>
        <v>0</v>
      </c>
      <c r="CA44" s="285">
        <f>SUM($AC44,$AE44,$AG44)</f>
        <v>0</v>
      </c>
      <c r="CB44" s="285">
        <f>SUM($AD44,$AF44,$AH44)</f>
        <v>0</v>
      </c>
      <c r="CC44" s="278">
        <f>SUM(CA44,CB44)</f>
        <v>0</v>
      </c>
      <c r="CD44" s="285">
        <f>SUM($AE44,$AG44)</f>
        <v>0</v>
      </c>
      <c r="CE44" s="285">
        <f>SUM($AF44,$AH44)</f>
        <v>0</v>
      </c>
      <c r="CF44" s="278">
        <f>SUM(CD44,CE44)</f>
        <v>0</v>
      </c>
      <c r="CG44" s="285">
        <f>SUM($AE44,$AG44)</f>
        <v>0</v>
      </c>
      <c r="CH44" s="285">
        <f>SUM($AF44,$AH44)</f>
        <v>0</v>
      </c>
      <c r="CI44" s="278">
        <f>SUM(CG44,CH44)</f>
        <v>0</v>
      </c>
      <c r="CJ44" s="285">
        <f>SUM($AE44,$AG44)</f>
        <v>0</v>
      </c>
      <c r="CK44" s="285">
        <f>SUM($AF44,$AH44)</f>
        <v>0</v>
      </c>
      <c r="CL44" s="278">
        <f>SUM(CJ44,CK44)</f>
        <v>0</v>
      </c>
      <c r="CM44" s="285">
        <f>SUM($AE44,$AG44)</f>
        <v>0</v>
      </c>
      <c r="CN44" s="285">
        <f>SUM($AF44,$AH44)</f>
        <v>0</v>
      </c>
      <c r="CO44" s="278">
        <f>SUM(CM44,CN44)</f>
        <v>0</v>
      </c>
      <c r="CP44" s="285">
        <f>SUM($AE44,$AG44)</f>
        <v>0</v>
      </c>
      <c r="CQ44" s="285">
        <f>SUM($AF44,$AH44)</f>
        <v>0</v>
      </c>
      <c r="CR44" s="278">
        <f>SUM(CP44,CQ44)</f>
        <v>0</v>
      </c>
      <c r="CS44" s="285">
        <f>SUM($AE44,$AG44)</f>
        <v>0</v>
      </c>
      <c r="CT44" s="285">
        <f>SUM($AF44,$AH44)</f>
        <v>0</v>
      </c>
      <c r="CU44" s="278">
        <f>SUM(CS44,CT44)</f>
        <v>0</v>
      </c>
      <c r="CV44" s="285">
        <f>SUM($AE44,$AG44)</f>
        <v>0</v>
      </c>
      <c r="CW44" s="285">
        <f>SUM($AF44,$AH44)</f>
        <v>0</v>
      </c>
      <c r="CX44" s="278">
        <f>SUM(CV44,CW44)</f>
        <v>0</v>
      </c>
    </row>
    <row r="45" spans="1:102" ht="12.75">
      <c r="A45" s="289"/>
      <c r="B45" s="290"/>
      <c r="C45" s="291"/>
      <c r="D45" s="292"/>
      <c r="E45" s="279"/>
      <c r="F45" s="280"/>
      <c r="G45" s="291"/>
      <c r="H45" s="292"/>
      <c r="I45" s="291"/>
      <c r="J45" s="292"/>
      <c r="K45" s="291"/>
      <c r="L45" s="292"/>
      <c r="M45" s="291"/>
      <c r="N45" s="292"/>
      <c r="O45" s="291"/>
      <c r="P45" s="292"/>
      <c r="Q45" s="291"/>
      <c r="R45" s="292"/>
      <c r="S45" s="291"/>
      <c r="T45" s="292"/>
      <c r="U45" s="291"/>
      <c r="V45" s="292"/>
      <c r="W45" s="291"/>
      <c r="X45" s="292"/>
      <c r="Y45" s="291"/>
      <c r="Z45" s="292"/>
      <c r="AA45" s="291"/>
      <c r="AB45" s="292"/>
      <c r="AC45" s="291"/>
      <c r="AD45" s="292"/>
      <c r="AE45" s="291"/>
      <c r="AF45" s="292"/>
      <c r="AG45" s="291"/>
      <c r="AH45" s="292"/>
      <c r="AI45" s="291"/>
      <c r="AJ45" s="292"/>
      <c r="AK45" s="291"/>
      <c r="AL45" s="292"/>
      <c r="AM45" s="291"/>
      <c r="AN45" s="292"/>
      <c r="AO45" s="291"/>
      <c r="AP45" s="292"/>
      <c r="AQ45" s="291"/>
      <c r="AR45" s="292"/>
      <c r="AU45" s="275"/>
      <c r="AV45" s="276"/>
      <c r="AW45" s="295"/>
      <c r="AX45" s="296"/>
      <c r="AY45" s="297"/>
      <c r="AZ45" s="283"/>
      <c r="BA45" s="285"/>
      <c r="BB45" s="294"/>
      <c r="BC45" s="206"/>
      <c r="BD45" s="285"/>
      <c r="BE45" s="294"/>
      <c r="BF45" s="206"/>
      <c r="BG45" s="285"/>
      <c r="BH45" s="294"/>
      <c r="BI45" s="206"/>
      <c r="BJ45" s="285"/>
      <c r="BK45" s="294"/>
      <c r="BL45" s="206"/>
      <c r="BM45" s="285"/>
      <c r="BN45" s="294"/>
      <c r="BO45" s="206"/>
      <c r="BP45" s="285"/>
      <c r="BQ45" s="294"/>
      <c r="BR45" s="206"/>
      <c r="BS45" s="285"/>
      <c r="BT45" s="294"/>
      <c r="BU45" s="206"/>
      <c r="BV45" s="285"/>
      <c r="BW45" s="294"/>
      <c r="BX45" s="206"/>
      <c r="BY45" s="285"/>
      <c r="BZ45" s="294"/>
      <c r="CA45" s="285"/>
      <c r="CB45" s="285"/>
      <c r="CC45" s="294"/>
      <c r="CD45" s="285"/>
      <c r="CE45" s="285"/>
      <c r="CF45" s="294"/>
      <c r="CG45" s="285"/>
      <c r="CH45" s="285"/>
      <c r="CI45" s="294"/>
      <c r="CJ45" s="285"/>
      <c r="CK45" s="285"/>
      <c r="CL45" s="294"/>
      <c r="CM45" s="285"/>
      <c r="CN45" s="285"/>
      <c r="CO45" s="294"/>
      <c r="CP45" s="285"/>
      <c r="CQ45" s="285"/>
      <c r="CR45" s="294"/>
      <c r="CS45" s="285"/>
      <c r="CT45" s="285"/>
      <c r="CU45" s="294"/>
      <c r="CV45" s="285"/>
      <c r="CW45" s="285"/>
      <c r="CX45" s="294"/>
    </row>
    <row r="46" spans="1:102" ht="12.75">
      <c r="A46" s="275" t="s">
        <v>272</v>
      </c>
      <c r="B46" s="290">
        <f>IF('WPF styczeń 2013'!H51=SUM(G46+I46+K46+M46+O46+Q46+S46+U46+W46+Y46+AA46+AC46+AE46+AG46),SUM(G46+I46+K46+M46+O46+Q46+S46+U46+W46+Y46+AA46+AC46+AE46+AG46),"popraw")</f>
        <v>11300000</v>
      </c>
      <c r="C46" s="291">
        <v>0</v>
      </c>
      <c r="D46" s="292">
        <v>0</v>
      </c>
      <c r="E46" s="279">
        <f t="shared" ref="E46:E57" si="93">G46+I46+K46+M46+O46+Q46+S46+U46+W46+Y46+AA46+AC46+AE46+AG46</f>
        <v>11300000</v>
      </c>
      <c r="F46" s="280">
        <f t="shared" ref="F46:F57" si="94">H46+J46+L46+N46+P46+R46+T46+V46+X46+Z46+AB46+AD46+AF46+AH46</f>
        <v>4427962.12</v>
      </c>
      <c r="G46" s="473"/>
      <c r="H46" s="474"/>
      <c r="I46" s="473"/>
      <c r="J46" s="474"/>
      <c r="K46" s="291">
        <v>0</v>
      </c>
      <c r="L46" s="292">
        <v>500000</v>
      </c>
      <c r="M46" s="291"/>
      <c r="N46" s="292">
        <v>540000</v>
      </c>
      <c r="O46" s="291">
        <v>0</v>
      </c>
      <c r="P46" s="292">
        <f>'obligacje 2013'!Y39</f>
        <v>535003.68000000005</v>
      </c>
      <c r="Q46" s="291">
        <v>0</v>
      </c>
      <c r="R46" s="292">
        <f>'obligacje 2013'!Y51</f>
        <v>535003.68000000005</v>
      </c>
      <c r="S46" s="291">
        <v>0</v>
      </c>
      <c r="T46" s="292">
        <f>'obligacje 2013'!Y63</f>
        <v>535003.68000000005</v>
      </c>
      <c r="U46" s="291"/>
      <c r="V46" s="292">
        <f>'obligacje 2013'!Y75</f>
        <v>535003.68000000005</v>
      </c>
      <c r="W46" s="292">
        <v>1300000</v>
      </c>
      <c r="X46" s="292">
        <f>'obligacje 2013'!Y87</f>
        <v>529874.59000000008</v>
      </c>
      <c r="Y46" s="291">
        <v>4000000</v>
      </c>
      <c r="Z46" s="292">
        <f>'obligacje 2013'!Y99</f>
        <v>457672.77999999991</v>
      </c>
      <c r="AA46" s="291">
        <v>6000000</v>
      </c>
      <c r="AB46" s="292">
        <f>'obligacje 2013'!Y111</f>
        <v>260400.03000000006</v>
      </c>
      <c r="AC46" s="291"/>
      <c r="AD46" s="292">
        <f>'obligacje 2013'!Y123</f>
        <v>0</v>
      </c>
      <c r="AE46" s="291"/>
      <c r="AF46" s="292">
        <f>'obligacje 2013'!Y135</f>
        <v>0</v>
      </c>
      <c r="AG46" s="291"/>
      <c r="AH46" s="292">
        <f>'obligacje 2013'!Y142</f>
        <v>0</v>
      </c>
      <c r="AI46" s="291"/>
      <c r="AJ46" s="292">
        <f>'obligacje 2013'!AA142</f>
        <v>0</v>
      </c>
      <c r="AK46" s="291"/>
      <c r="AL46" s="292">
        <f>'obligacje 2013'!AC142</f>
        <v>0</v>
      </c>
      <c r="AM46" s="291"/>
      <c r="AN46" s="292">
        <f>'obligacje 2013'!AE142</f>
        <v>0</v>
      </c>
      <c r="AO46" s="291"/>
      <c r="AP46" s="292">
        <f>'obligacje 2013'!AG142</f>
        <v>0</v>
      </c>
      <c r="AQ46" s="291"/>
      <c r="AR46" s="292">
        <f>'obligacje 2013'!AI142</f>
        <v>0</v>
      </c>
      <c r="AU46" s="275" t="str">
        <f t="shared" si="88"/>
        <v>Obligacje 2013</v>
      </c>
      <c r="AV46" s="276"/>
      <c r="AW46" s="1640"/>
      <c r="AX46" s="1641"/>
      <c r="AY46" s="1642"/>
      <c r="AZ46" s="298">
        <f>SUM($K46,$M46,$O46,$Q46,$S46,$U46,$W46,$Y46,$AA46,$AC46,$AE46,$AG46)</f>
        <v>11300000</v>
      </c>
      <c r="BA46" s="285">
        <f>SUM($L46,$N46,$P46,$R46,$T46,$V46,$X46,$Z46,$AB46,$AD46,$AF46,$AH46)</f>
        <v>4427962.12</v>
      </c>
      <c r="BB46" s="278">
        <f>SUM(AZ46,BA46)</f>
        <v>15727962.120000001</v>
      </c>
      <c r="BC46" s="211">
        <f>SUM($M46,$O46,$Q46,$S46,$U46,$W46,$Y46,$AA46,$AC46,$AE46,$AG46)</f>
        <v>11300000</v>
      </c>
      <c r="BD46" s="285">
        <f>SUM($N46,$P46,$R46,$T46,$V46,$X46,$Z46,$AB46,$AD46,$AF46,$AH46)</f>
        <v>3927962.1200000006</v>
      </c>
      <c r="BE46" s="278">
        <f>SUM(BC46,BD46)</f>
        <v>15227962.120000001</v>
      </c>
      <c r="BF46" s="211">
        <f>SUM($O46,$Q46,$S46,$U46,$W46,$Y46,$AA46,$AC46,$AE46,$AG46)</f>
        <v>11300000</v>
      </c>
      <c r="BG46" s="285">
        <f>SUM($P46,$R46,$T46,$V46,$X46,$Z46,$AB46,$AD46,$AF46,$AH46)</f>
        <v>3387962.1200000006</v>
      </c>
      <c r="BH46" s="278">
        <f>SUM(BF46,BG46)</f>
        <v>14687962.120000001</v>
      </c>
      <c r="BI46" s="211">
        <f>SUM($Q46,$S46,$U46,$W46,$Y46,$AA46,$AC46,$AE46,$AG46)</f>
        <v>11300000</v>
      </c>
      <c r="BJ46" s="285">
        <f>SUM($R46,$T46,$V46,$X46,$Z46,$AB46,$AD46,$AF46,$AH46)</f>
        <v>2852958.44</v>
      </c>
      <c r="BK46" s="278">
        <f>SUM(BI46,BJ46)</f>
        <v>14152958.439999999</v>
      </c>
      <c r="BL46" s="211">
        <f>SUM($S46,$U46,$W46,$Y46,$AA46,$AC46,$AE46,$AG46)</f>
        <v>11300000</v>
      </c>
      <c r="BM46" s="285">
        <f>SUM($T46,$V46,$X46,$Z46,$AB46,$AD46,$AF46,$AH46)</f>
        <v>2317954.7600000002</v>
      </c>
      <c r="BN46" s="278">
        <f>SUM(BL46,BM46)</f>
        <v>13617954.76</v>
      </c>
      <c r="BO46" s="211">
        <f t="shared" ref="BO46:BO51" si="95">SUM($U46,$W46,$Y46,$AA46,$AC46,$AE46,$AG46)</f>
        <v>11300000</v>
      </c>
      <c r="BP46" s="285">
        <f t="shared" ref="BP46:BP51" si="96">SUM($V46,$X46,$Z46,$AB46,$AD46,$AF46,$AH46)</f>
        <v>1782951.0799999998</v>
      </c>
      <c r="BQ46" s="278">
        <f>SUM(BO46,BP46)</f>
        <v>13082951.08</v>
      </c>
      <c r="BR46" s="211">
        <f t="shared" ref="BR46:BR52" si="97">SUM($W46,$Y46,$AA46,$AC46,$AE46,$AG46)</f>
        <v>11300000</v>
      </c>
      <c r="BS46" s="285">
        <f t="shared" ref="BS46:BS52" si="98">SUM($X46,$Z46,$AB46,$AD46,$AF46,$AH46)</f>
        <v>1247947.4000000001</v>
      </c>
      <c r="BT46" s="278">
        <f>SUM(BR46,BS46)</f>
        <v>12547947.4</v>
      </c>
      <c r="BU46" s="211">
        <f t="shared" ref="BU46:BU53" si="99">SUM($Y46,$AA46,$AC46,$AE46,$AG46)</f>
        <v>10000000</v>
      </c>
      <c r="BV46" s="285">
        <f t="shared" ref="BV46:BV53" si="100">SUM($Z46,$AB46,$AD46,$AF46,$AH46)</f>
        <v>718072.80999999994</v>
      </c>
      <c r="BW46" s="278">
        <f>SUM(BU46,BV46)</f>
        <v>10718072.810000001</v>
      </c>
      <c r="BX46" s="211">
        <f t="shared" ref="BX46:BX54" si="101">SUM($AA46,$AC46,$AE46,$AG46)</f>
        <v>6000000</v>
      </c>
      <c r="BY46" s="285">
        <f t="shared" ref="BY46:BY54" si="102">SUM($AB46,$AD46,$AF46,$AH46)</f>
        <v>260400.03000000006</v>
      </c>
      <c r="BZ46" s="278">
        <f>SUM(BX46,BY46)</f>
        <v>6260400.0300000003</v>
      </c>
      <c r="CA46" s="285">
        <f t="shared" ref="CA46:CA55" si="103">SUM($AC46,$AE46,$AG46)</f>
        <v>0</v>
      </c>
      <c r="CB46" s="285">
        <f t="shared" ref="CB46:CB55" si="104">SUM($AD46,$AF46,$AH46)</f>
        <v>0</v>
      </c>
      <c r="CC46" s="278">
        <f>SUM(CA46,CB46)</f>
        <v>0</v>
      </c>
      <c r="CD46" s="285">
        <f t="shared" ref="CD46:CD56" si="105">SUM($AE46,$AG46)</f>
        <v>0</v>
      </c>
      <c r="CE46" s="285">
        <f t="shared" ref="CE46:CE56" si="106">SUM($AF46,$AH46)</f>
        <v>0</v>
      </c>
      <c r="CF46" s="278">
        <f>SUM(CD46,CE46)</f>
        <v>0</v>
      </c>
      <c r="CG46" s="285">
        <f t="shared" ref="CG46:CG56" si="107">SUM($AE46,$AG46)</f>
        <v>0</v>
      </c>
      <c r="CH46" s="285">
        <f t="shared" ref="CH46:CH56" si="108">SUM($AF46,$AH46)</f>
        <v>0</v>
      </c>
      <c r="CI46" s="278">
        <f>SUM(CG46,CH46)</f>
        <v>0</v>
      </c>
      <c r="CJ46" s="285">
        <f t="shared" ref="CJ46:CJ56" si="109">SUM($AE46,$AG46)</f>
        <v>0</v>
      </c>
      <c r="CK46" s="285">
        <f t="shared" ref="CK46:CK56" si="110">SUM($AF46,$AH46)</f>
        <v>0</v>
      </c>
      <c r="CL46" s="278">
        <f>SUM(CJ46,CK46)</f>
        <v>0</v>
      </c>
      <c r="CM46" s="285">
        <f t="shared" ref="CM46:CM56" si="111">SUM($AE46,$AG46)</f>
        <v>0</v>
      </c>
      <c r="CN46" s="285">
        <f t="shared" ref="CN46:CN56" si="112">SUM($AF46,$AH46)</f>
        <v>0</v>
      </c>
      <c r="CO46" s="278">
        <f>SUM(CM46,CN46)</f>
        <v>0</v>
      </c>
      <c r="CP46" s="285">
        <f t="shared" ref="CP46:CP56" si="113">SUM($AE46,$AG46)</f>
        <v>0</v>
      </c>
      <c r="CQ46" s="285">
        <f t="shared" ref="CQ46:CQ56" si="114">SUM($AF46,$AH46)</f>
        <v>0</v>
      </c>
      <c r="CR46" s="278">
        <f>SUM(CP46,CQ46)</f>
        <v>0</v>
      </c>
      <c r="CS46" s="285">
        <f t="shared" ref="CS46:CS56" si="115">SUM($AE46,$AG46)</f>
        <v>0</v>
      </c>
      <c r="CT46" s="285">
        <f t="shared" ref="CT46:CT56" si="116">SUM($AF46,$AH46)</f>
        <v>0</v>
      </c>
      <c r="CU46" s="278">
        <f>SUM(CS46,CT46)</f>
        <v>0</v>
      </c>
      <c r="CV46" s="285">
        <f t="shared" ref="CV46:CV56" si="117">SUM($AE46,$AG46)</f>
        <v>0</v>
      </c>
      <c r="CW46" s="285">
        <f t="shared" ref="CW46:CW56" si="118">SUM($AF46,$AH46)</f>
        <v>0</v>
      </c>
      <c r="CX46" s="278">
        <f>SUM(CV46,CW46)</f>
        <v>0</v>
      </c>
    </row>
    <row r="47" spans="1:102" ht="12.75">
      <c r="A47" s="289" t="s">
        <v>273</v>
      </c>
      <c r="B47" s="290" t="str">
        <f>IF('WPF styczeń 2013'!I51=SUM(G47+I47+K47+M47+O47+Q47+S47+U47+W47+Y47+AA47+AC47+AE47+AG47),SUM(G47+I47+K47+M47+O47+Q47+S47+U47+W47+Y47+AA47+AC47+AE47+AG47),"popraw")</f>
        <v>popraw</v>
      </c>
      <c r="C47" s="291">
        <v>0</v>
      </c>
      <c r="D47" s="292">
        <v>0</v>
      </c>
      <c r="E47" s="279">
        <f t="shared" si="93"/>
        <v>8000000</v>
      </c>
      <c r="F47" s="280">
        <f t="shared" si="94"/>
        <v>5554727.1000000006</v>
      </c>
      <c r="G47" s="473"/>
      <c r="H47" s="474"/>
      <c r="I47" s="473"/>
      <c r="J47" s="474"/>
      <c r="K47" s="473"/>
      <c r="L47" s="474"/>
      <c r="M47" s="291"/>
      <c r="N47" s="292">
        <f>'obligacje 2014'!Y27</f>
        <v>597818.16</v>
      </c>
      <c r="O47" s="291"/>
      <c r="P47" s="292">
        <f>'obligacje 2014'!Y39</f>
        <v>597818.16</v>
      </c>
      <c r="Q47" s="291"/>
      <c r="R47" s="292">
        <f>'obligacje 2014'!Y51</f>
        <v>597818.16</v>
      </c>
      <c r="S47" s="291"/>
      <c r="T47" s="292">
        <f>'obligacje 2014'!Y63</f>
        <v>597818.16</v>
      </c>
      <c r="U47" s="291"/>
      <c r="V47" s="292">
        <f>'obligacje 2014'!Y75</f>
        <v>597818.16</v>
      </c>
      <c r="W47" s="291"/>
      <c r="X47" s="292">
        <f>'obligacje 2014'!Y87</f>
        <v>597818.16</v>
      </c>
      <c r="Y47" s="291">
        <v>0</v>
      </c>
      <c r="Z47" s="292">
        <f>'obligacje 2014'!Y99</f>
        <v>597818.16</v>
      </c>
      <c r="AA47" s="291"/>
      <c r="AB47" s="292">
        <f>'obligacje 2014'!Y111</f>
        <v>597818.16</v>
      </c>
      <c r="AC47" s="291">
        <v>5000000</v>
      </c>
      <c r="AD47" s="292">
        <f>'obligacje 2014'!Y123</f>
        <v>566681.79999999993</v>
      </c>
      <c r="AE47" s="291">
        <v>3000000</v>
      </c>
      <c r="AF47" s="292">
        <f>'obligacje 2014'!Y135</f>
        <v>205500.02000000005</v>
      </c>
      <c r="AG47" s="291"/>
      <c r="AH47" s="292">
        <f>'obligacje 2014'!Y142</f>
        <v>0</v>
      </c>
      <c r="AI47" s="291"/>
      <c r="AJ47" s="292">
        <f>'obligacje 2014'!AA142</f>
        <v>0</v>
      </c>
      <c r="AK47" s="291"/>
      <c r="AL47" s="292">
        <f>'obligacje 2014'!AC142</f>
        <v>0</v>
      </c>
      <c r="AM47" s="291"/>
      <c r="AN47" s="292">
        <f>'obligacje 2014'!AE142</f>
        <v>0</v>
      </c>
      <c r="AO47" s="291"/>
      <c r="AP47" s="292">
        <f>'obligacje 2014'!AG142</f>
        <v>0</v>
      </c>
      <c r="AQ47" s="291"/>
      <c r="AR47" s="292">
        <f>'obligacje 2014'!AI142</f>
        <v>0</v>
      </c>
      <c r="AU47" s="275" t="str">
        <f t="shared" si="88"/>
        <v>Obligacje 2014</v>
      </c>
      <c r="AV47" s="276"/>
      <c r="AW47" s="1640"/>
      <c r="AX47" s="1641"/>
      <c r="AY47" s="1642"/>
      <c r="AZ47" s="1646"/>
      <c r="BA47" s="1647"/>
      <c r="BB47" s="1648"/>
      <c r="BC47" s="211">
        <f>SUM($M47,$O47,$Q47,$S47,$U47,$W47,$Y47,$AA47,$AC47,$AE47,$AG47)</f>
        <v>8000000</v>
      </c>
      <c r="BD47" s="285">
        <f>SUM($N47,$P47,$R47,$T47,$V47,$X47,$Z47,$AB47,$AD47,$AF47,$AH47)</f>
        <v>5554727.1000000006</v>
      </c>
      <c r="BE47" s="278">
        <f>SUM(BC47,BD47)</f>
        <v>13554727.100000001</v>
      </c>
      <c r="BF47" s="211">
        <f>SUM($O47,$Q47,$S47,$U47,$W47,$Y47,$AA47,$AC47,$AE47,$AG47)</f>
        <v>8000000</v>
      </c>
      <c r="BG47" s="285">
        <f>SUM($P47,$R47,$T47,$V47,$X47,$Z47,$AB47,$AD47,$AF47,$AH47)</f>
        <v>4956908.9400000013</v>
      </c>
      <c r="BH47" s="278">
        <f>SUM(BF47,BG47)</f>
        <v>12956908.940000001</v>
      </c>
      <c r="BI47" s="211">
        <f>SUM($Q47,$S47,$U47,$W47,$Y47,$AA47,$AC47,$AE47,$AG47)</f>
        <v>8000000</v>
      </c>
      <c r="BJ47" s="285">
        <f>SUM($R47,$T47,$V47,$X47,$Z47,$AB47,$AD47,$AF47,$AH47)</f>
        <v>4359090.78</v>
      </c>
      <c r="BK47" s="278">
        <f>SUM(BI47,BJ47)</f>
        <v>12359090.780000001</v>
      </c>
      <c r="BL47" s="211">
        <f>SUM($S47,$U47,$W47,$Y47,$AA47,$AC47,$AE47,$AG47)</f>
        <v>8000000</v>
      </c>
      <c r="BM47" s="285">
        <f>SUM($T47,$V47,$X47,$Z47,$AB47,$AD47,$AF47,$AH47)</f>
        <v>3761272.62</v>
      </c>
      <c r="BN47" s="278">
        <f>SUM(BL47,BM47)</f>
        <v>11761272.620000001</v>
      </c>
      <c r="BO47" s="211">
        <f t="shared" si="95"/>
        <v>8000000</v>
      </c>
      <c r="BP47" s="285">
        <f t="shared" si="96"/>
        <v>3163454.46</v>
      </c>
      <c r="BQ47" s="278">
        <f>SUM(BO47,BP47)</f>
        <v>11163454.460000001</v>
      </c>
      <c r="BR47" s="211">
        <f t="shared" si="97"/>
        <v>8000000</v>
      </c>
      <c r="BS47" s="285">
        <f t="shared" si="98"/>
        <v>2565636.2999999998</v>
      </c>
      <c r="BT47" s="278">
        <f>SUM(BR47,BS47)</f>
        <v>10565636.300000001</v>
      </c>
      <c r="BU47" s="211">
        <f t="shared" si="99"/>
        <v>8000000</v>
      </c>
      <c r="BV47" s="285">
        <f t="shared" si="100"/>
        <v>1967818.1400000001</v>
      </c>
      <c r="BW47" s="278">
        <f>SUM(BU47,BV47)</f>
        <v>9967818.1400000006</v>
      </c>
      <c r="BX47" s="211">
        <f t="shared" si="101"/>
        <v>8000000</v>
      </c>
      <c r="BY47" s="285">
        <f t="shared" si="102"/>
        <v>1369999.98</v>
      </c>
      <c r="BZ47" s="278">
        <f>SUM(BX47,BY47)</f>
        <v>9369999.9800000004</v>
      </c>
      <c r="CA47" s="285">
        <f t="shared" si="103"/>
        <v>8000000</v>
      </c>
      <c r="CB47" s="285">
        <f t="shared" si="104"/>
        <v>772181.82</v>
      </c>
      <c r="CC47" s="278">
        <f>SUM(CA47,CB47)</f>
        <v>8772181.8200000003</v>
      </c>
      <c r="CD47" s="285">
        <f t="shared" si="105"/>
        <v>3000000</v>
      </c>
      <c r="CE47" s="285">
        <f t="shared" si="106"/>
        <v>205500.02000000005</v>
      </c>
      <c r="CF47" s="278">
        <f>SUM(CD47,CE47)</f>
        <v>3205500.02</v>
      </c>
      <c r="CG47" s="285">
        <f t="shared" si="107"/>
        <v>3000000</v>
      </c>
      <c r="CH47" s="285">
        <f t="shared" si="108"/>
        <v>205500.02000000005</v>
      </c>
      <c r="CI47" s="278">
        <f>SUM(CG47,CH47)</f>
        <v>3205500.02</v>
      </c>
      <c r="CJ47" s="285">
        <f t="shared" si="109"/>
        <v>3000000</v>
      </c>
      <c r="CK47" s="285">
        <f t="shared" si="110"/>
        <v>205500.02000000005</v>
      </c>
      <c r="CL47" s="278">
        <f>SUM(CJ47,CK47)</f>
        <v>3205500.02</v>
      </c>
      <c r="CM47" s="285">
        <f t="shared" si="111"/>
        <v>3000000</v>
      </c>
      <c r="CN47" s="285">
        <f t="shared" si="112"/>
        <v>205500.02000000005</v>
      </c>
      <c r="CO47" s="278">
        <f>SUM(CM47,CN47)</f>
        <v>3205500.02</v>
      </c>
      <c r="CP47" s="285">
        <f t="shared" si="113"/>
        <v>3000000</v>
      </c>
      <c r="CQ47" s="285">
        <f t="shared" si="114"/>
        <v>205500.02000000005</v>
      </c>
      <c r="CR47" s="278">
        <f>SUM(CP47,CQ47)</f>
        <v>3205500.02</v>
      </c>
      <c r="CS47" s="285">
        <f t="shared" si="115"/>
        <v>3000000</v>
      </c>
      <c r="CT47" s="285">
        <f t="shared" si="116"/>
        <v>205500.02000000005</v>
      </c>
      <c r="CU47" s="278">
        <f>SUM(CS47,CT47)</f>
        <v>3205500.02</v>
      </c>
      <c r="CV47" s="285">
        <f t="shared" si="117"/>
        <v>3000000</v>
      </c>
      <c r="CW47" s="285">
        <f t="shared" si="118"/>
        <v>205500.02000000005</v>
      </c>
      <c r="CX47" s="278">
        <f>SUM(CV47,CW47)</f>
        <v>3205500.02</v>
      </c>
    </row>
    <row r="48" spans="1:102" ht="12.75">
      <c r="A48" s="275" t="s">
        <v>274</v>
      </c>
      <c r="B48" s="290" t="str">
        <f>IF(SUM(G48+I48+K48+M48+O48+Q48+S48+U48+W48+Y48+AA48+AC48+AE48+AG48)='WPF styczeń 2013'!J51,SUM(G48+I48+K48+M48+O48+Q48+S48+U48+W48+Y48+AA48+AC48+AE48+AG48),"popraw")</f>
        <v>popraw</v>
      </c>
      <c r="C48" s="291"/>
      <c r="D48" s="292"/>
      <c r="E48" s="279">
        <f t="shared" si="93"/>
        <v>1000000</v>
      </c>
      <c r="F48" s="280">
        <f t="shared" si="94"/>
        <v>232781.55</v>
      </c>
      <c r="G48" s="473"/>
      <c r="H48" s="474"/>
      <c r="I48" s="473"/>
      <c r="J48" s="474"/>
      <c r="K48" s="473"/>
      <c r="L48" s="474"/>
      <c r="M48" s="473"/>
      <c r="N48" s="474"/>
      <c r="O48" s="291"/>
      <c r="P48" s="292">
        <f>'obligacje 2015'!Y39</f>
        <v>47345.399999999994</v>
      </c>
      <c r="Q48" s="291"/>
      <c r="R48" s="292">
        <f>'obligacje 2015'!Y51</f>
        <v>47345.399999999994</v>
      </c>
      <c r="S48" s="291"/>
      <c r="T48" s="292">
        <f>'obligacje 2015'!Y63</f>
        <v>47345.399999999994</v>
      </c>
      <c r="U48" s="291"/>
      <c r="V48" s="292">
        <f>'obligacje 2015'!Y75</f>
        <v>47345.399999999994</v>
      </c>
      <c r="W48" s="291">
        <v>1000000</v>
      </c>
      <c r="X48" s="292">
        <f>'obligacje 2015'!Y87</f>
        <v>43399.95</v>
      </c>
      <c r="Y48" s="291">
        <v>0</v>
      </c>
      <c r="Z48" s="292">
        <f>'obligacje 2015'!Y99</f>
        <v>0</v>
      </c>
      <c r="AA48" s="291"/>
      <c r="AB48" s="292">
        <f>'obligacje 2015'!Y111</f>
        <v>0</v>
      </c>
      <c r="AC48" s="291"/>
      <c r="AD48" s="292">
        <f>'obligacje 2015'!Y123</f>
        <v>0</v>
      </c>
      <c r="AE48" s="291"/>
      <c r="AF48" s="292">
        <f>'obligacje 2015'!Y135</f>
        <v>0</v>
      </c>
      <c r="AG48" s="291"/>
      <c r="AH48" s="292">
        <f>'obligacje 2015'!Y142</f>
        <v>0</v>
      </c>
      <c r="AI48" s="291"/>
      <c r="AJ48" s="292">
        <f>'obligacje 2015'!AA142</f>
        <v>0</v>
      </c>
      <c r="AK48" s="291"/>
      <c r="AL48" s="292">
        <f>'obligacje 2015'!AC142</f>
        <v>0</v>
      </c>
      <c r="AM48" s="291"/>
      <c r="AN48" s="292">
        <f>'obligacje 2015'!AE142</f>
        <v>0</v>
      </c>
      <c r="AO48" s="291"/>
      <c r="AP48" s="292">
        <f>'obligacje 2015'!AG142</f>
        <v>0</v>
      </c>
      <c r="AQ48" s="291"/>
      <c r="AR48" s="292">
        <f>'obligacje 2015'!AI142</f>
        <v>0</v>
      </c>
      <c r="AU48" s="275" t="str">
        <f t="shared" si="88"/>
        <v>Obligacje 2015</v>
      </c>
      <c r="AV48" s="276"/>
      <c r="AW48" s="1640"/>
      <c r="AX48" s="1641"/>
      <c r="AY48" s="1642"/>
      <c r="AZ48" s="1640"/>
      <c r="BA48" s="1641"/>
      <c r="BB48" s="1642"/>
      <c r="BC48" s="1646"/>
      <c r="BD48" s="1647"/>
      <c r="BE48" s="1648"/>
      <c r="BF48" s="211">
        <f>SUM($O48,$Q48,$S48,$U48,$W48,$Y48,$AA48,$AC48,$AE48,$AG48)</f>
        <v>1000000</v>
      </c>
      <c r="BG48" s="285">
        <f>SUM($P48,$R48,$T48,$V48,$X48,$Z48,$AB48,$AD48,$AF48,$AH48)</f>
        <v>232781.55</v>
      </c>
      <c r="BH48" s="278">
        <f>SUM(BF48,BG48)</f>
        <v>1232781.55</v>
      </c>
      <c r="BI48" s="211">
        <f>SUM($Q48,$S48,$U48,$W48,$Y48,$AA48,$AC48,$AE48,$AG48)</f>
        <v>1000000</v>
      </c>
      <c r="BJ48" s="285">
        <f>SUM($R48,$T48,$V48,$X48,$Z48,$AB48,$AD48,$AF48,$AH48)</f>
        <v>185436.14999999997</v>
      </c>
      <c r="BK48" s="278">
        <f>SUM(BI48,BJ48)</f>
        <v>1185436.1499999999</v>
      </c>
      <c r="BL48" s="211">
        <f>SUM($S48,$U48,$W48,$Y48,$AA48,$AC48,$AE48,$AG48)</f>
        <v>1000000</v>
      </c>
      <c r="BM48" s="285">
        <f>SUM($T48,$V48,$X48,$Z48,$AB48,$AD48,$AF48,$AH48)</f>
        <v>138090.75</v>
      </c>
      <c r="BN48" s="278">
        <f>SUM(BL48,BM48)</f>
        <v>1138090.75</v>
      </c>
      <c r="BO48" s="211">
        <f t="shared" si="95"/>
        <v>1000000</v>
      </c>
      <c r="BP48" s="285">
        <f t="shared" si="96"/>
        <v>90745.349999999991</v>
      </c>
      <c r="BQ48" s="278">
        <f>SUM(BO48,BP48)</f>
        <v>1090745.3500000001</v>
      </c>
      <c r="BR48" s="211">
        <f t="shared" si="97"/>
        <v>1000000</v>
      </c>
      <c r="BS48" s="285">
        <f t="shared" si="98"/>
        <v>43399.95</v>
      </c>
      <c r="BT48" s="278">
        <f>SUM(BR48,BS48)</f>
        <v>1043399.95</v>
      </c>
      <c r="BU48" s="211">
        <f t="shared" si="99"/>
        <v>0</v>
      </c>
      <c r="BV48" s="285">
        <f t="shared" si="100"/>
        <v>0</v>
      </c>
      <c r="BW48" s="278">
        <f>SUM(BU48,BV48)</f>
        <v>0</v>
      </c>
      <c r="BX48" s="211">
        <f t="shared" si="101"/>
        <v>0</v>
      </c>
      <c r="BY48" s="285">
        <f t="shared" si="102"/>
        <v>0</v>
      </c>
      <c r="BZ48" s="278">
        <f>SUM(BX48,BY48)</f>
        <v>0</v>
      </c>
      <c r="CA48" s="285">
        <f t="shared" si="103"/>
        <v>0</v>
      </c>
      <c r="CB48" s="285">
        <f t="shared" si="104"/>
        <v>0</v>
      </c>
      <c r="CC48" s="278">
        <f>SUM(CA48,CB48)</f>
        <v>0</v>
      </c>
      <c r="CD48" s="285">
        <f t="shared" si="105"/>
        <v>0</v>
      </c>
      <c r="CE48" s="285">
        <f t="shared" si="106"/>
        <v>0</v>
      </c>
      <c r="CF48" s="278">
        <f>SUM(CD48,CE48)</f>
        <v>0</v>
      </c>
      <c r="CG48" s="285">
        <f t="shared" si="107"/>
        <v>0</v>
      </c>
      <c r="CH48" s="285">
        <f t="shared" si="108"/>
        <v>0</v>
      </c>
      <c r="CI48" s="278">
        <f>SUM(CG48,CH48)</f>
        <v>0</v>
      </c>
      <c r="CJ48" s="285">
        <f t="shared" si="109"/>
        <v>0</v>
      </c>
      <c r="CK48" s="285">
        <f t="shared" si="110"/>
        <v>0</v>
      </c>
      <c r="CL48" s="278">
        <f>SUM(CJ48,CK48)</f>
        <v>0</v>
      </c>
      <c r="CM48" s="285">
        <f t="shared" si="111"/>
        <v>0</v>
      </c>
      <c r="CN48" s="285">
        <f t="shared" si="112"/>
        <v>0</v>
      </c>
      <c r="CO48" s="278">
        <f>SUM(CM48,CN48)</f>
        <v>0</v>
      </c>
      <c r="CP48" s="285">
        <f t="shared" si="113"/>
        <v>0</v>
      </c>
      <c r="CQ48" s="285">
        <f t="shared" si="114"/>
        <v>0</v>
      </c>
      <c r="CR48" s="278">
        <f>SUM(CP48,CQ48)</f>
        <v>0</v>
      </c>
      <c r="CS48" s="285">
        <f t="shared" si="115"/>
        <v>0</v>
      </c>
      <c r="CT48" s="285">
        <f t="shared" si="116"/>
        <v>0</v>
      </c>
      <c r="CU48" s="278">
        <f>SUM(CS48,CT48)</f>
        <v>0</v>
      </c>
      <c r="CV48" s="285">
        <f t="shared" si="117"/>
        <v>0</v>
      </c>
      <c r="CW48" s="285">
        <f t="shared" si="118"/>
        <v>0</v>
      </c>
      <c r="CX48" s="278">
        <f>SUM(CV48,CW48)</f>
        <v>0</v>
      </c>
    </row>
    <row r="49" spans="1:102" ht="12.75">
      <c r="A49" s="289" t="s">
        <v>275</v>
      </c>
      <c r="B49" s="290">
        <f>IF(SUM(G49+I49+K49+M49+O49+Q49+S49+U49+W49+Y49+AA49+AC49+AE49+AG49)='WPF styczeń 2013'!K51,SUM(G49+I49+K49+M49+O49+Q49+S49+U49+W49+Y49+AA49+AC49+AE49+AG49),"popraw")</f>
        <v>0</v>
      </c>
      <c r="C49" s="291"/>
      <c r="D49" s="292"/>
      <c r="E49" s="279">
        <f t="shared" si="93"/>
        <v>0</v>
      </c>
      <c r="F49" s="280">
        <f t="shared" si="94"/>
        <v>0</v>
      </c>
      <c r="G49" s="473"/>
      <c r="H49" s="474"/>
      <c r="I49" s="473"/>
      <c r="J49" s="474"/>
      <c r="K49" s="473"/>
      <c r="L49" s="474"/>
      <c r="M49" s="473"/>
      <c r="N49" s="474"/>
      <c r="O49" s="473"/>
      <c r="P49" s="474"/>
      <c r="Q49" s="291"/>
      <c r="R49" s="292">
        <f>'obligacje 2016'!Y51</f>
        <v>0</v>
      </c>
      <c r="S49" s="291"/>
      <c r="T49" s="292">
        <f>'obligacje 2016'!Y63</f>
        <v>0</v>
      </c>
      <c r="U49" s="291"/>
      <c r="V49" s="292">
        <f>'obligacje 2016'!Y75</f>
        <v>0</v>
      </c>
      <c r="W49" s="291">
        <v>0</v>
      </c>
      <c r="X49" s="292">
        <f>'obligacje 2016'!Y87</f>
        <v>0</v>
      </c>
      <c r="Y49" s="291">
        <v>0</v>
      </c>
      <c r="Z49" s="291">
        <v>0</v>
      </c>
      <c r="AA49" s="291">
        <v>0</v>
      </c>
      <c r="AB49" s="291">
        <v>0</v>
      </c>
      <c r="AC49" s="291"/>
      <c r="AD49" s="292">
        <f>'obligacje 2016'!Y123</f>
        <v>0</v>
      </c>
      <c r="AE49" s="291"/>
      <c r="AF49" s="292">
        <f>'obligacje 2016'!Y135</f>
        <v>0</v>
      </c>
      <c r="AG49" s="291"/>
      <c r="AH49" s="292">
        <f>'obligacje 2016'!Y142</f>
        <v>0</v>
      </c>
      <c r="AI49" s="291"/>
      <c r="AJ49" s="292">
        <f>'obligacje 2016'!AA142</f>
        <v>0</v>
      </c>
      <c r="AK49" s="291"/>
      <c r="AL49" s="292">
        <f>'obligacje 2016'!AC142</f>
        <v>0</v>
      </c>
      <c r="AM49" s="291"/>
      <c r="AN49" s="292">
        <f>'obligacje 2016'!AE142</f>
        <v>0</v>
      </c>
      <c r="AO49" s="291"/>
      <c r="AP49" s="292">
        <f>'obligacje 2016'!AG142</f>
        <v>0</v>
      </c>
      <c r="AQ49" s="291"/>
      <c r="AR49" s="292">
        <f>'obligacje 2016'!AI142</f>
        <v>0</v>
      </c>
      <c r="AU49" s="275" t="str">
        <f t="shared" si="88"/>
        <v>Obligacje 2016</v>
      </c>
      <c r="AV49" s="276"/>
      <c r="AW49" s="1640"/>
      <c r="AX49" s="1641"/>
      <c r="AY49" s="1642"/>
      <c r="AZ49" s="1640"/>
      <c r="BA49" s="1641"/>
      <c r="BB49" s="1642"/>
      <c r="BC49" s="1640"/>
      <c r="BD49" s="1641"/>
      <c r="BE49" s="1642"/>
      <c r="BF49" s="1646"/>
      <c r="BG49" s="1647"/>
      <c r="BH49" s="1648"/>
      <c r="BI49" s="211">
        <f>SUM($Q49,$S49,$U49,$W49,$Y49,$AA49,$AC49,$AE49,$AG49)</f>
        <v>0</v>
      </c>
      <c r="BJ49" s="285">
        <f>SUM($R49,$T49,$V49,$X49,$Z49,$AB49,$AD49,$AF49,$AH49)</f>
        <v>0</v>
      </c>
      <c r="BK49" s="278">
        <f>SUM(BI49,BJ49)</f>
        <v>0</v>
      </c>
      <c r="BL49" s="211">
        <f>SUM($S49,$U49,$W49,$Y49,$AA49,$AC49,$AE49,$AG49)</f>
        <v>0</v>
      </c>
      <c r="BM49" s="285">
        <f>SUM($T49,$V49,$X49,$Z49,$AB49,$AD49,$AF49,$AH49)</f>
        <v>0</v>
      </c>
      <c r="BN49" s="278">
        <f t="shared" ref="BN49:BN50" si="119">SUM(BL49,BM49)</f>
        <v>0</v>
      </c>
      <c r="BO49" s="211">
        <f t="shared" si="95"/>
        <v>0</v>
      </c>
      <c r="BP49" s="285">
        <f t="shared" si="96"/>
        <v>0</v>
      </c>
      <c r="BQ49" s="278">
        <f t="shared" ref="BQ49:BQ51" si="120">SUM(BO49,BP49)</f>
        <v>0</v>
      </c>
      <c r="BR49" s="211">
        <f t="shared" si="97"/>
        <v>0</v>
      </c>
      <c r="BS49" s="285">
        <f t="shared" si="98"/>
        <v>0</v>
      </c>
      <c r="BT49" s="278">
        <f t="shared" ref="BT49:BT52" si="121">SUM(BR49,BS49)</f>
        <v>0</v>
      </c>
      <c r="BU49" s="211">
        <f t="shared" si="99"/>
        <v>0</v>
      </c>
      <c r="BV49" s="285">
        <f t="shared" si="100"/>
        <v>0</v>
      </c>
      <c r="BW49" s="278">
        <f t="shared" ref="BW49:BW53" si="122">SUM(BU49,BV49)</f>
        <v>0</v>
      </c>
      <c r="BX49" s="211">
        <f t="shared" si="101"/>
        <v>0</v>
      </c>
      <c r="BY49" s="285">
        <f t="shared" si="102"/>
        <v>0</v>
      </c>
      <c r="BZ49" s="278">
        <f t="shared" ref="BZ49:BZ54" si="123">SUM(BX49,BY49)</f>
        <v>0</v>
      </c>
      <c r="CA49" s="285">
        <f t="shared" si="103"/>
        <v>0</v>
      </c>
      <c r="CB49" s="285">
        <f t="shared" si="104"/>
        <v>0</v>
      </c>
      <c r="CC49" s="278">
        <f t="shared" ref="CC49:CC55" si="124">SUM(CA49,CB49)</f>
        <v>0</v>
      </c>
      <c r="CD49" s="285">
        <f t="shared" si="105"/>
        <v>0</v>
      </c>
      <c r="CE49" s="285">
        <f t="shared" si="106"/>
        <v>0</v>
      </c>
      <c r="CF49" s="278">
        <f t="shared" ref="CF49:CF56" si="125">SUM(CD49,CE49)</f>
        <v>0</v>
      </c>
      <c r="CG49" s="285">
        <f t="shared" si="107"/>
        <v>0</v>
      </c>
      <c r="CH49" s="285">
        <f t="shared" si="108"/>
        <v>0</v>
      </c>
      <c r="CI49" s="278">
        <f t="shared" ref="CI49:CI56" si="126">SUM(CG49,CH49)</f>
        <v>0</v>
      </c>
      <c r="CJ49" s="285">
        <f t="shared" si="109"/>
        <v>0</v>
      </c>
      <c r="CK49" s="285">
        <f t="shared" si="110"/>
        <v>0</v>
      </c>
      <c r="CL49" s="278">
        <f t="shared" ref="CL49:CL56" si="127">SUM(CJ49,CK49)</f>
        <v>0</v>
      </c>
      <c r="CM49" s="285">
        <f t="shared" si="111"/>
        <v>0</v>
      </c>
      <c r="CN49" s="285">
        <f t="shared" si="112"/>
        <v>0</v>
      </c>
      <c r="CO49" s="278">
        <f t="shared" ref="CO49:CO56" si="128">SUM(CM49,CN49)</f>
        <v>0</v>
      </c>
      <c r="CP49" s="285">
        <f t="shared" si="113"/>
        <v>0</v>
      </c>
      <c r="CQ49" s="285">
        <f t="shared" si="114"/>
        <v>0</v>
      </c>
      <c r="CR49" s="278">
        <f t="shared" ref="CR49:CR56" si="129">SUM(CP49,CQ49)</f>
        <v>0</v>
      </c>
      <c r="CS49" s="285">
        <f t="shared" si="115"/>
        <v>0</v>
      </c>
      <c r="CT49" s="285">
        <f t="shared" si="116"/>
        <v>0</v>
      </c>
      <c r="CU49" s="278">
        <f t="shared" ref="CU49:CU56" si="130">SUM(CS49,CT49)</f>
        <v>0</v>
      </c>
      <c r="CV49" s="285">
        <f t="shared" si="117"/>
        <v>0</v>
      </c>
      <c r="CW49" s="285">
        <f t="shared" si="118"/>
        <v>0</v>
      </c>
      <c r="CX49" s="278">
        <f t="shared" ref="CX49:CX56" si="131">SUM(CV49,CW49)</f>
        <v>0</v>
      </c>
    </row>
    <row r="50" spans="1:102" ht="12.75">
      <c r="A50" s="275" t="s">
        <v>276</v>
      </c>
      <c r="B50" s="290">
        <f>IF(SUM(G50+I50+K50+M50+O50+Q50+S50+U50+W50+Y50+AA50+AC50+AE50+AG50)='WPF styczeń 2013'!L51,SUM(G50+I50+K50+M50+O50+Q50+S50+U50+W50+Y50+AA50+AC50+AE50+AG50),"popraw")</f>
        <v>0</v>
      </c>
      <c r="C50" s="291"/>
      <c r="D50" s="292"/>
      <c r="E50" s="279">
        <f t="shared" si="93"/>
        <v>0</v>
      </c>
      <c r="F50" s="280">
        <f t="shared" si="94"/>
        <v>0</v>
      </c>
      <c r="G50" s="473"/>
      <c r="H50" s="474"/>
      <c r="I50" s="473"/>
      <c r="J50" s="474"/>
      <c r="K50" s="473"/>
      <c r="L50" s="474"/>
      <c r="M50" s="473"/>
      <c r="N50" s="474"/>
      <c r="O50" s="473"/>
      <c r="P50" s="474"/>
      <c r="Q50" s="473"/>
      <c r="R50" s="474"/>
      <c r="S50" s="291"/>
      <c r="T50" s="292">
        <f>'obligacje 2017'!Y63</f>
        <v>0</v>
      </c>
      <c r="U50" s="291"/>
      <c r="V50" s="292">
        <f>'obligacje 2017'!Y75</f>
        <v>0</v>
      </c>
      <c r="W50" s="291">
        <v>0</v>
      </c>
      <c r="X50" s="292">
        <f>'obligacje 2017'!Y87</f>
        <v>0</v>
      </c>
      <c r="Y50" s="291">
        <v>0</v>
      </c>
      <c r="Z50" s="292">
        <f>'obligacje 2017'!Y99</f>
        <v>0</v>
      </c>
      <c r="AA50" s="291">
        <v>0</v>
      </c>
      <c r="AB50" s="292">
        <f>'obligacje 2017'!Y111</f>
        <v>0</v>
      </c>
      <c r="AC50" s="291"/>
      <c r="AD50" s="292">
        <f>'obligacje 2017'!Y123</f>
        <v>0</v>
      </c>
      <c r="AE50" s="291"/>
      <c r="AF50" s="292">
        <f>'obligacje 2017'!Y135</f>
        <v>0</v>
      </c>
      <c r="AG50" s="291"/>
      <c r="AH50" s="292">
        <f>'obligacje 2017'!Y142</f>
        <v>0</v>
      </c>
      <c r="AI50" s="291"/>
      <c r="AJ50" s="292">
        <f>'obligacje 2017'!AA142</f>
        <v>0</v>
      </c>
      <c r="AK50" s="291"/>
      <c r="AL50" s="292">
        <f>'obligacje 2017'!AC142</f>
        <v>0</v>
      </c>
      <c r="AM50" s="291"/>
      <c r="AN50" s="292">
        <f>'obligacje 2017'!AE142</f>
        <v>0</v>
      </c>
      <c r="AO50" s="291"/>
      <c r="AP50" s="292">
        <f>'obligacje 2017'!AG142</f>
        <v>0</v>
      </c>
      <c r="AQ50" s="291"/>
      <c r="AR50" s="292">
        <f>'obligacje 2017'!AI142</f>
        <v>0</v>
      </c>
      <c r="AU50" s="275" t="str">
        <f t="shared" si="88"/>
        <v>Obligacje 2017</v>
      </c>
      <c r="AV50" s="276"/>
      <c r="AW50" s="1640"/>
      <c r="AX50" s="1641"/>
      <c r="AY50" s="1642"/>
      <c r="AZ50" s="1640"/>
      <c r="BA50" s="1641"/>
      <c r="BB50" s="1642"/>
      <c r="BC50" s="1640"/>
      <c r="BD50" s="1641"/>
      <c r="BE50" s="1642"/>
      <c r="BF50" s="1640"/>
      <c r="BG50" s="1641"/>
      <c r="BH50" s="1642"/>
      <c r="BI50" s="1646"/>
      <c r="BJ50" s="1647"/>
      <c r="BK50" s="1647"/>
      <c r="BL50" s="211">
        <f>SUM($S50,$U50,$W50,$Y50,$AA50,$AC50,$AE50,$AG50)</f>
        <v>0</v>
      </c>
      <c r="BM50" s="285">
        <f>SUM($T50,$V50,$X50,$Z50,$AB50,$AD50,$AF50,$AH50)</f>
        <v>0</v>
      </c>
      <c r="BN50" s="278">
        <f t="shared" si="119"/>
        <v>0</v>
      </c>
      <c r="BO50" s="211">
        <f t="shared" si="95"/>
        <v>0</v>
      </c>
      <c r="BP50" s="285">
        <f t="shared" si="96"/>
        <v>0</v>
      </c>
      <c r="BQ50" s="278">
        <f t="shared" si="120"/>
        <v>0</v>
      </c>
      <c r="BR50" s="211">
        <f t="shared" si="97"/>
        <v>0</v>
      </c>
      <c r="BS50" s="285">
        <f t="shared" si="98"/>
        <v>0</v>
      </c>
      <c r="BT50" s="278">
        <f t="shared" si="121"/>
        <v>0</v>
      </c>
      <c r="BU50" s="211">
        <f t="shared" si="99"/>
        <v>0</v>
      </c>
      <c r="BV50" s="285">
        <f t="shared" si="100"/>
        <v>0</v>
      </c>
      <c r="BW50" s="278">
        <f t="shared" si="122"/>
        <v>0</v>
      </c>
      <c r="BX50" s="211">
        <f t="shared" si="101"/>
        <v>0</v>
      </c>
      <c r="BY50" s="285">
        <f t="shared" si="102"/>
        <v>0</v>
      </c>
      <c r="BZ50" s="278">
        <f t="shared" si="123"/>
        <v>0</v>
      </c>
      <c r="CA50" s="285">
        <f t="shared" si="103"/>
        <v>0</v>
      </c>
      <c r="CB50" s="285">
        <f t="shared" si="104"/>
        <v>0</v>
      </c>
      <c r="CC50" s="278">
        <f t="shared" si="124"/>
        <v>0</v>
      </c>
      <c r="CD50" s="285">
        <f t="shared" si="105"/>
        <v>0</v>
      </c>
      <c r="CE50" s="285">
        <f t="shared" si="106"/>
        <v>0</v>
      </c>
      <c r="CF50" s="278">
        <f t="shared" si="125"/>
        <v>0</v>
      </c>
      <c r="CG50" s="285">
        <f t="shared" si="107"/>
        <v>0</v>
      </c>
      <c r="CH50" s="285">
        <f t="shared" si="108"/>
        <v>0</v>
      </c>
      <c r="CI50" s="278">
        <f t="shared" si="126"/>
        <v>0</v>
      </c>
      <c r="CJ50" s="285">
        <f t="shared" si="109"/>
        <v>0</v>
      </c>
      <c r="CK50" s="285">
        <f t="shared" si="110"/>
        <v>0</v>
      </c>
      <c r="CL50" s="278">
        <f t="shared" si="127"/>
        <v>0</v>
      </c>
      <c r="CM50" s="285">
        <f t="shared" si="111"/>
        <v>0</v>
      </c>
      <c r="CN50" s="285">
        <f t="shared" si="112"/>
        <v>0</v>
      </c>
      <c r="CO50" s="278">
        <f t="shared" si="128"/>
        <v>0</v>
      </c>
      <c r="CP50" s="285">
        <f t="shared" si="113"/>
        <v>0</v>
      </c>
      <c r="CQ50" s="285">
        <f t="shared" si="114"/>
        <v>0</v>
      </c>
      <c r="CR50" s="278">
        <f t="shared" si="129"/>
        <v>0</v>
      </c>
      <c r="CS50" s="285">
        <f t="shared" si="115"/>
        <v>0</v>
      </c>
      <c r="CT50" s="285">
        <f t="shared" si="116"/>
        <v>0</v>
      </c>
      <c r="CU50" s="278">
        <f t="shared" si="130"/>
        <v>0</v>
      </c>
      <c r="CV50" s="285">
        <f t="shared" si="117"/>
        <v>0</v>
      </c>
      <c r="CW50" s="285">
        <f t="shared" si="118"/>
        <v>0</v>
      </c>
      <c r="CX50" s="278">
        <f t="shared" si="131"/>
        <v>0</v>
      </c>
    </row>
    <row r="51" spans="1:102" ht="12.75">
      <c r="A51" s="289" t="s">
        <v>277</v>
      </c>
      <c r="B51" s="290">
        <f>IF(SUM(G51+I51+K51+M51+O51+Q51+S51+U51+W51+Y51+AA51+AC51+AE51+AG51)='WPF styczeń 2013'!M51,SUM(G51+I51+K51+M51+O51+Q51+S51+U51+W51+Y51+AA51+AC51+AE51+AG51),"popraw")</f>
        <v>0</v>
      </c>
      <c r="C51" s="291"/>
      <c r="D51" s="292"/>
      <c r="E51" s="279">
        <f t="shared" si="93"/>
        <v>0</v>
      </c>
      <c r="F51" s="280">
        <f t="shared" si="94"/>
        <v>0</v>
      </c>
      <c r="G51" s="473"/>
      <c r="H51" s="474"/>
      <c r="I51" s="473"/>
      <c r="J51" s="474"/>
      <c r="K51" s="473"/>
      <c r="L51" s="474"/>
      <c r="M51" s="473"/>
      <c r="N51" s="474"/>
      <c r="O51" s="473"/>
      <c r="P51" s="474"/>
      <c r="Q51" s="473"/>
      <c r="R51" s="474"/>
      <c r="S51" s="473"/>
      <c r="T51" s="474"/>
      <c r="U51" s="291"/>
      <c r="V51" s="292">
        <f>'obligacje 2018'!Y75</f>
        <v>0</v>
      </c>
      <c r="W51" s="291"/>
      <c r="X51" s="292">
        <f>'obligacje 2018'!Y87</f>
        <v>0</v>
      </c>
      <c r="Y51" s="291"/>
      <c r="Z51" s="292">
        <f>'obligacje 2018'!Y99</f>
        <v>0</v>
      </c>
      <c r="AA51" s="291">
        <v>0</v>
      </c>
      <c r="AB51" s="292">
        <f>'obligacje 2018'!Y111</f>
        <v>0</v>
      </c>
      <c r="AC51" s="291"/>
      <c r="AD51" s="292">
        <f>'obligacje 2018'!Y123</f>
        <v>0</v>
      </c>
      <c r="AE51" s="291"/>
      <c r="AF51" s="292">
        <f>'obligacje 2018'!Y135</f>
        <v>0</v>
      </c>
      <c r="AG51" s="291"/>
      <c r="AH51" s="292">
        <f>'obligacje 2018'!Y142</f>
        <v>0</v>
      </c>
      <c r="AI51" s="291"/>
      <c r="AJ51" s="292">
        <f>'obligacje 2018'!AA142</f>
        <v>0</v>
      </c>
      <c r="AK51" s="291"/>
      <c r="AL51" s="292">
        <f>'obligacje 2018'!AC142</f>
        <v>0</v>
      </c>
      <c r="AM51" s="291"/>
      <c r="AN51" s="292">
        <f>'obligacje 2018'!AE142</f>
        <v>0</v>
      </c>
      <c r="AO51" s="291"/>
      <c r="AP51" s="292">
        <f>'obligacje 2018'!AG142</f>
        <v>0</v>
      </c>
      <c r="AQ51" s="291"/>
      <c r="AR51" s="292">
        <f>'obligacje 2018'!AI142</f>
        <v>0</v>
      </c>
      <c r="AU51" s="275" t="str">
        <f t="shared" si="88"/>
        <v>Obligacje 2018</v>
      </c>
      <c r="AV51" s="276"/>
      <c r="AW51" s="1640"/>
      <c r="AX51" s="1641"/>
      <c r="AY51" s="1642"/>
      <c r="AZ51" s="1640"/>
      <c r="BA51" s="1641"/>
      <c r="BB51" s="1642"/>
      <c r="BC51" s="1640"/>
      <c r="BD51" s="1641"/>
      <c r="BE51" s="1642"/>
      <c r="BF51" s="1640"/>
      <c r="BG51" s="1641"/>
      <c r="BH51" s="1642"/>
      <c r="BI51" s="1640"/>
      <c r="BJ51" s="1641"/>
      <c r="BK51" s="1641"/>
      <c r="BL51" s="1696"/>
      <c r="BM51" s="1647"/>
      <c r="BN51" s="1647"/>
      <c r="BO51" s="211">
        <f t="shared" si="95"/>
        <v>0</v>
      </c>
      <c r="BP51" s="285">
        <f t="shared" si="96"/>
        <v>0</v>
      </c>
      <c r="BQ51" s="278">
        <f t="shared" si="120"/>
        <v>0</v>
      </c>
      <c r="BR51" s="211">
        <f t="shared" si="97"/>
        <v>0</v>
      </c>
      <c r="BS51" s="285">
        <f t="shared" si="98"/>
        <v>0</v>
      </c>
      <c r="BT51" s="278">
        <f t="shared" si="121"/>
        <v>0</v>
      </c>
      <c r="BU51" s="211">
        <f t="shared" si="99"/>
        <v>0</v>
      </c>
      <c r="BV51" s="285">
        <f t="shared" si="100"/>
        <v>0</v>
      </c>
      <c r="BW51" s="278">
        <f t="shared" si="122"/>
        <v>0</v>
      </c>
      <c r="BX51" s="211">
        <f t="shared" si="101"/>
        <v>0</v>
      </c>
      <c r="BY51" s="285">
        <f t="shared" si="102"/>
        <v>0</v>
      </c>
      <c r="BZ51" s="278">
        <f t="shared" si="123"/>
        <v>0</v>
      </c>
      <c r="CA51" s="285">
        <f t="shared" si="103"/>
        <v>0</v>
      </c>
      <c r="CB51" s="285">
        <f t="shared" si="104"/>
        <v>0</v>
      </c>
      <c r="CC51" s="278">
        <f t="shared" si="124"/>
        <v>0</v>
      </c>
      <c r="CD51" s="285">
        <f t="shared" si="105"/>
        <v>0</v>
      </c>
      <c r="CE51" s="285">
        <f t="shared" si="106"/>
        <v>0</v>
      </c>
      <c r="CF51" s="278">
        <f t="shared" si="125"/>
        <v>0</v>
      </c>
      <c r="CG51" s="285">
        <f t="shared" si="107"/>
        <v>0</v>
      </c>
      <c r="CH51" s="285">
        <f t="shared" si="108"/>
        <v>0</v>
      </c>
      <c r="CI51" s="278">
        <f t="shared" si="126"/>
        <v>0</v>
      </c>
      <c r="CJ51" s="285">
        <f t="shared" si="109"/>
        <v>0</v>
      </c>
      <c r="CK51" s="285">
        <f t="shared" si="110"/>
        <v>0</v>
      </c>
      <c r="CL51" s="278">
        <f t="shared" si="127"/>
        <v>0</v>
      </c>
      <c r="CM51" s="285">
        <f t="shared" si="111"/>
        <v>0</v>
      </c>
      <c r="CN51" s="285">
        <f t="shared" si="112"/>
        <v>0</v>
      </c>
      <c r="CO51" s="278">
        <f t="shared" si="128"/>
        <v>0</v>
      </c>
      <c r="CP51" s="285">
        <f t="shared" si="113"/>
        <v>0</v>
      </c>
      <c r="CQ51" s="285">
        <f t="shared" si="114"/>
        <v>0</v>
      </c>
      <c r="CR51" s="278">
        <f t="shared" si="129"/>
        <v>0</v>
      </c>
      <c r="CS51" s="285">
        <f t="shared" si="115"/>
        <v>0</v>
      </c>
      <c r="CT51" s="285">
        <f t="shared" si="116"/>
        <v>0</v>
      </c>
      <c r="CU51" s="278">
        <f t="shared" si="130"/>
        <v>0</v>
      </c>
      <c r="CV51" s="285">
        <f t="shared" si="117"/>
        <v>0</v>
      </c>
      <c r="CW51" s="285">
        <f t="shared" si="118"/>
        <v>0</v>
      </c>
      <c r="CX51" s="278">
        <f t="shared" si="131"/>
        <v>0</v>
      </c>
    </row>
    <row r="52" spans="1:102" ht="12.75">
      <c r="A52" s="275" t="s">
        <v>278</v>
      </c>
      <c r="B52" s="290">
        <f>IF(SUM(G52+I52+K52+M52+O52+Q52+S52+U52+W52+Y52+AA52+AC52+AE52+AG52)='WPF styczeń 2013'!N51,SUM(G52+I52+K52+M52+O52+Q52+S52+U52+W52+Y52+AA52+AC52+AE52+AG52),"popraw")</f>
        <v>0</v>
      </c>
      <c r="C52" s="291"/>
      <c r="D52" s="292"/>
      <c r="E52" s="279">
        <f t="shared" si="93"/>
        <v>0</v>
      </c>
      <c r="F52" s="280">
        <f t="shared" si="94"/>
        <v>0</v>
      </c>
      <c r="G52" s="473"/>
      <c r="H52" s="474"/>
      <c r="I52" s="473"/>
      <c r="J52" s="474"/>
      <c r="K52" s="473"/>
      <c r="L52" s="474"/>
      <c r="M52" s="473"/>
      <c r="N52" s="474"/>
      <c r="O52" s="473"/>
      <c r="P52" s="474"/>
      <c r="Q52" s="473"/>
      <c r="R52" s="474"/>
      <c r="S52" s="473"/>
      <c r="T52" s="474"/>
      <c r="U52" s="473"/>
      <c r="V52" s="474"/>
      <c r="W52" s="291"/>
      <c r="X52" s="292">
        <f>'obligacje 2019'!Y87</f>
        <v>0</v>
      </c>
      <c r="Y52" s="291"/>
      <c r="Z52" s="292">
        <f>'obligacje 2019'!Y99</f>
        <v>0</v>
      </c>
      <c r="AA52" s="291">
        <v>0</v>
      </c>
      <c r="AB52" s="292">
        <f>'obligacje 2019'!Y111</f>
        <v>0</v>
      </c>
      <c r="AC52" s="291">
        <v>0</v>
      </c>
      <c r="AD52" s="292">
        <f>'obligacje 2019'!Y123</f>
        <v>0</v>
      </c>
      <c r="AE52" s="291"/>
      <c r="AF52" s="292">
        <f>'obligacje 2019'!Y135</f>
        <v>0</v>
      </c>
      <c r="AG52" s="291"/>
      <c r="AH52" s="292">
        <f>'obligacje 2019'!Y142</f>
        <v>0</v>
      </c>
      <c r="AI52" s="291"/>
      <c r="AJ52" s="292">
        <f>'obligacje 2019'!AA142</f>
        <v>0</v>
      </c>
      <c r="AK52" s="291"/>
      <c r="AL52" s="292">
        <f>'obligacje 2019'!AC142</f>
        <v>0</v>
      </c>
      <c r="AM52" s="291"/>
      <c r="AN52" s="292">
        <f>'obligacje 2019'!AE142</f>
        <v>0</v>
      </c>
      <c r="AO52" s="291"/>
      <c r="AP52" s="292">
        <f>'obligacje 2019'!AG142</f>
        <v>0</v>
      </c>
      <c r="AQ52" s="291"/>
      <c r="AR52" s="292">
        <f>'obligacje 2019'!AI142</f>
        <v>0</v>
      </c>
      <c r="AU52" s="275" t="str">
        <f t="shared" si="88"/>
        <v>Obligacje 2019</v>
      </c>
      <c r="AV52" s="276"/>
      <c r="AW52" s="1640"/>
      <c r="AX52" s="1641"/>
      <c r="AY52" s="1642"/>
      <c r="AZ52" s="1640"/>
      <c r="BA52" s="1641"/>
      <c r="BB52" s="1642"/>
      <c r="BC52" s="1640"/>
      <c r="BD52" s="1641"/>
      <c r="BE52" s="1642"/>
      <c r="BF52" s="1640"/>
      <c r="BG52" s="1641"/>
      <c r="BH52" s="1642"/>
      <c r="BI52" s="1640"/>
      <c r="BJ52" s="1641"/>
      <c r="BK52" s="1641"/>
      <c r="BL52" s="1698"/>
      <c r="BM52" s="1641"/>
      <c r="BN52" s="1641"/>
      <c r="BO52" s="1696"/>
      <c r="BP52" s="1647"/>
      <c r="BQ52" s="1647"/>
      <c r="BR52" s="211">
        <f t="shared" si="97"/>
        <v>0</v>
      </c>
      <c r="BS52" s="285">
        <f t="shared" si="98"/>
        <v>0</v>
      </c>
      <c r="BT52" s="278">
        <f t="shared" si="121"/>
        <v>0</v>
      </c>
      <c r="BU52" s="211">
        <f t="shared" si="99"/>
        <v>0</v>
      </c>
      <c r="BV52" s="285">
        <f t="shared" si="100"/>
        <v>0</v>
      </c>
      <c r="BW52" s="278">
        <f t="shared" si="122"/>
        <v>0</v>
      </c>
      <c r="BX52" s="211">
        <f t="shared" si="101"/>
        <v>0</v>
      </c>
      <c r="BY52" s="285">
        <f t="shared" si="102"/>
        <v>0</v>
      </c>
      <c r="BZ52" s="278">
        <f t="shared" si="123"/>
        <v>0</v>
      </c>
      <c r="CA52" s="285">
        <f t="shared" si="103"/>
        <v>0</v>
      </c>
      <c r="CB52" s="285">
        <f t="shared" si="104"/>
        <v>0</v>
      </c>
      <c r="CC52" s="278">
        <f t="shared" si="124"/>
        <v>0</v>
      </c>
      <c r="CD52" s="285">
        <f t="shared" si="105"/>
        <v>0</v>
      </c>
      <c r="CE52" s="285">
        <f t="shared" si="106"/>
        <v>0</v>
      </c>
      <c r="CF52" s="278">
        <f t="shared" si="125"/>
        <v>0</v>
      </c>
      <c r="CG52" s="285">
        <f t="shared" si="107"/>
        <v>0</v>
      </c>
      <c r="CH52" s="285">
        <f t="shared" si="108"/>
        <v>0</v>
      </c>
      <c r="CI52" s="278">
        <f t="shared" si="126"/>
        <v>0</v>
      </c>
      <c r="CJ52" s="285">
        <f t="shared" si="109"/>
        <v>0</v>
      </c>
      <c r="CK52" s="285">
        <f t="shared" si="110"/>
        <v>0</v>
      </c>
      <c r="CL52" s="278">
        <f t="shared" si="127"/>
        <v>0</v>
      </c>
      <c r="CM52" s="285">
        <f t="shared" si="111"/>
        <v>0</v>
      </c>
      <c r="CN52" s="285">
        <f t="shared" si="112"/>
        <v>0</v>
      </c>
      <c r="CO52" s="278">
        <f t="shared" si="128"/>
        <v>0</v>
      </c>
      <c r="CP52" s="285">
        <f t="shared" si="113"/>
        <v>0</v>
      </c>
      <c r="CQ52" s="285">
        <f t="shared" si="114"/>
        <v>0</v>
      </c>
      <c r="CR52" s="278">
        <f t="shared" si="129"/>
        <v>0</v>
      </c>
      <c r="CS52" s="285">
        <f t="shared" si="115"/>
        <v>0</v>
      </c>
      <c r="CT52" s="285">
        <f t="shared" si="116"/>
        <v>0</v>
      </c>
      <c r="CU52" s="278">
        <f t="shared" si="130"/>
        <v>0</v>
      </c>
      <c r="CV52" s="285">
        <f t="shared" si="117"/>
        <v>0</v>
      </c>
      <c r="CW52" s="285">
        <f t="shared" si="118"/>
        <v>0</v>
      </c>
      <c r="CX52" s="278">
        <f t="shared" si="131"/>
        <v>0</v>
      </c>
    </row>
    <row r="53" spans="1:102" ht="12.75">
      <c r="A53" s="289" t="s">
        <v>279</v>
      </c>
      <c r="B53" s="290">
        <f>IF(SUM(G53+I53+K53+M53+O53+Q53+S53+U53+W53+Y53+AA53+AC53+AE53+AG53)='WPF styczeń 2013'!O51,SUM(G53+I53+K53+M53+O53+Q53+S53+U53+W53+Y53+AA53+AC53+AE53+AG53),"popraw")</f>
        <v>0</v>
      </c>
      <c r="C53" s="291"/>
      <c r="D53" s="292"/>
      <c r="E53" s="279">
        <f t="shared" si="93"/>
        <v>0</v>
      </c>
      <c r="F53" s="280">
        <f t="shared" si="94"/>
        <v>0</v>
      </c>
      <c r="G53" s="473"/>
      <c r="H53" s="474"/>
      <c r="I53" s="473"/>
      <c r="J53" s="474"/>
      <c r="K53" s="473"/>
      <c r="L53" s="474"/>
      <c r="M53" s="473"/>
      <c r="N53" s="474"/>
      <c r="O53" s="473"/>
      <c r="P53" s="474"/>
      <c r="Q53" s="473"/>
      <c r="R53" s="474"/>
      <c r="S53" s="473"/>
      <c r="T53" s="474"/>
      <c r="U53" s="473"/>
      <c r="V53" s="474"/>
      <c r="W53" s="473"/>
      <c r="X53" s="474"/>
      <c r="Y53" s="291"/>
      <c r="Z53" s="292">
        <f>'obligacje 2020'!Y99</f>
        <v>0</v>
      </c>
      <c r="AA53" s="291"/>
      <c r="AB53" s="292">
        <f>'obligacje 2020'!Y111</f>
        <v>0</v>
      </c>
      <c r="AC53" s="291">
        <v>0</v>
      </c>
      <c r="AD53" s="292">
        <f>'obligacje 2020'!Y123</f>
        <v>0</v>
      </c>
      <c r="AE53" s="291">
        <v>0</v>
      </c>
      <c r="AF53" s="292">
        <f>'obligacje 2020'!Y1345</f>
        <v>0</v>
      </c>
      <c r="AG53" s="291"/>
      <c r="AH53" s="292">
        <f>'obligacje 2020'!Y142</f>
        <v>0</v>
      </c>
      <c r="AI53" s="291"/>
      <c r="AJ53" s="292">
        <f>'obligacje 2020'!AA142</f>
        <v>0</v>
      </c>
      <c r="AK53" s="291"/>
      <c r="AL53" s="292">
        <f>'obligacje 2020'!AC142</f>
        <v>0</v>
      </c>
      <c r="AM53" s="291"/>
      <c r="AN53" s="292">
        <f>'obligacje 2020'!AE142</f>
        <v>0</v>
      </c>
      <c r="AO53" s="291"/>
      <c r="AP53" s="292">
        <f>'obligacje 2020'!AG142</f>
        <v>0</v>
      </c>
      <c r="AQ53" s="291"/>
      <c r="AR53" s="292">
        <f>'obligacje 2020'!AI142</f>
        <v>0</v>
      </c>
      <c r="AU53" s="275" t="str">
        <f t="shared" si="88"/>
        <v>Obligacje 2020</v>
      </c>
      <c r="AV53" s="276"/>
      <c r="AW53" s="1640"/>
      <c r="AX53" s="1641"/>
      <c r="AY53" s="1642"/>
      <c r="AZ53" s="1640"/>
      <c r="BA53" s="1641"/>
      <c r="BB53" s="1642"/>
      <c r="BC53" s="1640"/>
      <c r="BD53" s="1641"/>
      <c r="BE53" s="1642"/>
      <c r="BF53" s="1640"/>
      <c r="BG53" s="1641"/>
      <c r="BH53" s="1642"/>
      <c r="BI53" s="1640"/>
      <c r="BJ53" s="1641"/>
      <c r="BK53" s="1641"/>
      <c r="BL53" s="1698"/>
      <c r="BM53" s="1641"/>
      <c r="BN53" s="1641"/>
      <c r="BO53" s="1698"/>
      <c r="BP53" s="1641"/>
      <c r="BQ53" s="1641"/>
      <c r="BR53" s="1696"/>
      <c r="BS53" s="1647"/>
      <c r="BT53" s="1647"/>
      <c r="BU53" s="211">
        <f t="shared" si="99"/>
        <v>0</v>
      </c>
      <c r="BV53" s="285">
        <f t="shared" si="100"/>
        <v>0</v>
      </c>
      <c r="BW53" s="278">
        <f t="shared" si="122"/>
        <v>0</v>
      </c>
      <c r="BX53" s="211">
        <f t="shared" si="101"/>
        <v>0</v>
      </c>
      <c r="BY53" s="285">
        <f t="shared" si="102"/>
        <v>0</v>
      </c>
      <c r="BZ53" s="278">
        <f t="shared" si="123"/>
        <v>0</v>
      </c>
      <c r="CA53" s="285">
        <f t="shared" si="103"/>
        <v>0</v>
      </c>
      <c r="CB53" s="285">
        <f t="shared" si="104"/>
        <v>0</v>
      </c>
      <c r="CC53" s="278">
        <f t="shared" si="124"/>
        <v>0</v>
      </c>
      <c r="CD53" s="285">
        <f t="shared" si="105"/>
        <v>0</v>
      </c>
      <c r="CE53" s="285">
        <f t="shared" si="106"/>
        <v>0</v>
      </c>
      <c r="CF53" s="278">
        <f t="shared" si="125"/>
        <v>0</v>
      </c>
      <c r="CG53" s="285">
        <f t="shared" si="107"/>
        <v>0</v>
      </c>
      <c r="CH53" s="285">
        <f t="shared" si="108"/>
        <v>0</v>
      </c>
      <c r="CI53" s="278">
        <f t="shared" si="126"/>
        <v>0</v>
      </c>
      <c r="CJ53" s="285">
        <f t="shared" si="109"/>
        <v>0</v>
      </c>
      <c r="CK53" s="285">
        <f t="shared" si="110"/>
        <v>0</v>
      </c>
      <c r="CL53" s="278">
        <f t="shared" si="127"/>
        <v>0</v>
      </c>
      <c r="CM53" s="285">
        <f t="shared" si="111"/>
        <v>0</v>
      </c>
      <c r="CN53" s="285">
        <f t="shared" si="112"/>
        <v>0</v>
      </c>
      <c r="CO53" s="278">
        <f t="shared" si="128"/>
        <v>0</v>
      </c>
      <c r="CP53" s="285">
        <f t="shared" si="113"/>
        <v>0</v>
      </c>
      <c r="CQ53" s="285">
        <f t="shared" si="114"/>
        <v>0</v>
      </c>
      <c r="CR53" s="278">
        <f t="shared" si="129"/>
        <v>0</v>
      </c>
      <c r="CS53" s="285">
        <f t="shared" si="115"/>
        <v>0</v>
      </c>
      <c r="CT53" s="285">
        <f t="shared" si="116"/>
        <v>0</v>
      </c>
      <c r="CU53" s="278">
        <f t="shared" si="130"/>
        <v>0</v>
      </c>
      <c r="CV53" s="285">
        <f t="shared" si="117"/>
        <v>0</v>
      </c>
      <c r="CW53" s="285">
        <f t="shared" si="118"/>
        <v>0</v>
      </c>
      <c r="CX53" s="278">
        <f t="shared" si="131"/>
        <v>0</v>
      </c>
    </row>
    <row r="54" spans="1:102" ht="12.75">
      <c r="A54" s="275" t="s">
        <v>280</v>
      </c>
      <c r="B54" s="290">
        <f>IF(SUM(G54+I54+K54+M54+O54+Q54+S54+U54+W54+Y54+AA54+AC54+AE54+AG54)='WPF styczeń 2013'!P51,SUM(G54+I54+K54+M54+O54+Q54+S54+U54+W54+Y54+AA54+AC54+AE54+AG54),"popraw")</f>
        <v>0</v>
      </c>
      <c r="C54" s="291"/>
      <c r="D54" s="292"/>
      <c r="E54" s="279">
        <f t="shared" si="93"/>
        <v>0</v>
      </c>
      <c r="F54" s="280">
        <f t="shared" si="94"/>
        <v>0</v>
      </c>
      <c r="G54" s="473"/>
      <c r="H54" s="474"/>
      <c r="I54" s="473"/>
      <c r="J54" s="474"/>
      <c r="K54" s="473"/>
      <c r="L54" s="474"/>
      <c r="M54" s="473"/>
      <c r="N54" s="474"/>
      <c r="O54" s="473"/>
      <c r="P54" s="474"/>
      <c r="Q54" s="473"/>
      <c r="R54" s="474"/>
      <c r="S54" s="473"/>
      <c r="T54" s="474"/>
      <c r="U54" s="473"/>
      <c r="V54" s="474"/>
      <c r="W54" s="473"/>
      <c r="X54" s="474"/>
      <c r="Y54" s="473"/>
      <c r="Z54" s="474"/>
      <c r="AA54" s="291"/>
      <c r="AB54" s="292">
        <f>'obligacje 2021'!Y111</f>
        <v>0</v>
      </c>
      <c r="AC54" s="291">
        <v>0</v>
      </c>
      <c r="AD54" s="292">
        <f>'obligacje 2021'!Y123</f>
        <v>0</v>
      </c>
      <c r="AE54" s="291">
        <v>0</v>
      </c>
      <c r="AF54" s="292">
        <f>'obligacje 2021'!Y135</f>
        <v>0</v>
      </c>
      <c r="AG54" s="291"/>
      <c r="AH54" s="292">
        <f>'obligacje 2021'!Y142</f>
        <v>0</v>
      </c>
      <c r="AI54" s="291"/>
      <c r="AJ54" s="292">
        <f>'obligacje 2021'!AA142</f>
        <v>0</v>
      </c>
      <c r="AK54" s="291"/>
      <c r="AL54" s="292">
        <f>'obligacje 2021'!AC142</f>
        <v>0</v>
      </c>
      <c r="AM54" s="291"/>
      <c r="AN54" s="292">
        <f>'obligacje 2021'!AE142</f>
        <v>0</v>
      </c>
      <c r="AO54" s="291"/>
      <c r="AP54" s="292">
        <f>'obligacje 2021'!AG142</f>
        <v>0</v>
      </c>
      <c r="AQ54" s="291"/>
      <c r="AR54" s="292">
        <f>'obligacje 2021'!AI142</f>
        <v>0</v>
      </c>
      <c r="AU54" s="275" t="str">
        <f t="shared" si="88"/>
        <v>Obligacje 2021</v>
      </c>
      <c r="AV54" s="276"/>
      <c r="AW54" s="1640"/>
      <c r="AX54" s="1641"/>
      <c r="AY54" s="1642"/>
      <c r="AZ54" s="1640"/>
      <c r="BA54" s="1641"/>
      <c r="BB54" s="1642"/>
      <c r="BC54" s="1640"/>
      <c r="BD54" s="1641"/>
      <c r="BE54" s="1642"/>
      <c r="BF54" s="1640"/>
      <c r="BG54" s="1641"/>
      <c r="BH54" s="1642"/>
      <c r="BI54" s="1640"/>
      <c r="BJ54" s="1641"/>
      <c r="BK54" s="1641"/>
      <c r="BL54" s="1698"/>
      <c r="BM54" s="1641"/>
      <c r="BN54" s="1641"/>
      <c r="BO54" s="1698"/>
      <c r="BP54" s="1641"/>
      <c r="BQ54" s="1641"/>
      <c r="BR54" s="1698"/>
      <c r="BS54" s="1641"/>
      <c r="BT54" s="1641"/>
      <c r="BU54" s="1696"/>
      <c r="BV54" s="1647"/>
      <c r="BW54" s="1647"/>
      <c r="BX54" s="211">
        <f t="shared" si="101"/>
        <v>0</v>
      </c>
      <c r="BY54" s="285">
        <f t="shared" si="102"/>
        <v>0</v>
      </c>
      <c r="BZ54" s="278">
        <f t="shared" si="123"/>
        <v>0</v>
      </c>
      <c r="CA54" s="285">
        <f t="shared" si="103"/>
        <v>0</v>
      </c>
      <c r="CB54" s="285">
        <f t="shared" si="104"/>
        <v>0</v>
      </c>
      <c r="CC54" s="278">
        <f t="shared" si="124"/>
        <v>0</v>
      </c>
      <c r="CD54" s="285">
        <f t="shared" si="105"/>
        <v>0</v>
      </c>
      <c r="CE54" s="285">
        <f t="shared" si="106"/>
        <v>0</v>
      </c>
      <c r="CF54" s="278">
        <f t="shared" si="125"/>
        <v>0</v>
      </c>
      <c r="CG54" s="285">
        <f t="shared" si="107"/>
        <v>0</v>
      </c>
      <c r="CH54" s="285">
        <f t="shared" si="108"/>
        <v>0</v>
      </c>
      <c r="CI54" s="278">
        <f t="shared" si="126"/>
        <v>0</v>
      </c>
      <c r="CJ54" s="285">
        <f t="shared" si="109"/>
        <v>0</v>
      </c>
      <c r="CK54" s="285">
        <f t="shared" si="110"/>
        <v>0</v>
      </c>
      <c r="CL54" s="278">
        <f t="shared" si="127"/>
        <v>0</v>
      </c>
      <c r="CM54" s="285">
        <f t="shared" si="111"/>
        <v>0</v>
      </c>
      <c r="CN54" s="285">
        <f t="shared" si="112"/>
        <v>0</v>
      </c>
      <c r="CO54" s="278">
        <f t="shared" si="128"/>
        <v>0</v>
      </c>
      <c r="CP54" s="285">
        <f t="shared" si="113"/>
        <v>0</v>
      </c>
      <c r="CQ54" s="285">
        <f t="shared" si="114"/>
        <v>0</v>
      </c>
      <c r="CR54" s="278">
        <f t="shared" si="129"/>
        <v>0</v>
      </c>
      <c r="CS54" s="285">
        <f t="shared" si="115"/>
        <v>0</v>
      </c>
      <c r="CT54" s="285">
        <f t="shared" si="116"/>
        <v>0</v>
      </c>
      <c r="CU54" s="278">
        <f t="shared" si="130"/>
        <v>0</v>
      </c>
      <c r="CV54" s="285">
        <f t="shared" si="117"/>
        <v>0</v>
      </c>
      <c r="CW54" s="285">
        <f t="shared" si="118"/>
        <v>0</v>
      </c>
      <c r="CX54" s="278">
        <f t="shared" si="131"/>
        <v>0</v>
      </c>
    </row>
    <row r="55" spans="1:102" ht="12.75">
      <c r="A55" s="289" t="s">
        <v>281</v>
      </c>
      <c r="B55" s="290">
        <f>IF(SUM(G55+I55+K55+M55+O55+Q55+S55+U55+W55+Y55+AA55+AC55+AE55+AG55)='WPF styczeń 2013'!Q51,SUM(G55+I55+K55+M55+O55+Q55+S55+U55+W55+Y55+AA55+AC55+AE55+AG55),"popraw")</f>
        <v>0</v>
      </c>
      <c r="C55" s="291"/>
      <c r="D55" s="292"/>
      <c r="E55" s="279">
        <f t="shared" si="93"/>
        <v>0</v>
      </c>
      <c r="F55" s="280">
        <f t="shared" si="94"/>
        <v>0</v>
      </c>
      <c r="G55" s="473"/>
      <c r="H55" s="474"/>
      <c r="I55" s="473"/>
      <c r="J55" s="474"/>
      <c r="K55" s="473"/>
      <c r="L55" s="474"/>
      <c r="M55" s="473"/>
      <c r="N55" s="474"/>
      <c r="O55" s="473"/>
      <c r="P55" s="474"/>
      <c r="Q55" s="473"/>
      <c r="R55" s="474"/>
      <c r="S55" s="473"/>
      <c r="T55" s="474"/>
      <c r="U55" s="473"/>
      <c r="V55" s="474"/>
      <c r="W55" s="473"/>
      <c r="X55" s="474"/>
      <c r="Y55" s="473"/>
      <c r="Z55" s="474"/>
      <c r="AA55" s="473"/>
      <c r="AB55" s="474"/>
      <c r="AC55" s="291">
        <v>0</v>
      </c>
      <c r="AD55" s="292">
        <f>'obligacje 2022'!Y123</f>
        <v>0</v>
      </c>
      <c r="AE55" s="291">
        <v>0</v>
      </c>
      <c r="AF55" s="292">
        <f>'obligacje 2022'!Y135</f>
        <v>0</v>
      </c>
      <c r="AG55" s="291"/>
      <c r="AH55" s="292">
        <f>'obligacje 2022'!Y142</f>
        <v>0</v>
      </c>
      <c r="AI55" s="291"/>
      <c r="AJ55" s="292">
        <f>'obligacje 2022'!AA142</f>
        <v>0</v>
      </c>
      <c r="AK55" s="291"/>
      <c r="AL55" s="292">
        <f>'obligacje 2022'!AC142</f>
        <v>0</v>
      </c>
      <c r="AM55" s="291"/>
      <c r="AN55" s="292">
        <f>'obligacje 2022'!AE142</f>
        <v>0</v>
      </c>
      <c r="AO55" s="291"/>
      <c r="AP55" s="292">
        <f>'obligacje 2022'!AG142</f>
        <v>0</v>
      </c>
      <c r="AQ55" s="291"/>
      <c r="AR55" s="292">
        <f>'obligacje 2022'!AI142</f>
        <v>0</v>
      </c>
      <c r="AU55" s="275" t="str">
        <f t="shared" ref="AU55:AU57" si="132">A55</f>
        <v>Obligacje 2022</v>
      </c>
      <c r="AV55" s="276"/>
      <c r="AW55" s="1640"/>
      <c r="AX55" s="1641"/>
      <c r="AY55" s="1642"/>
      <c r="AZ55" s="1640"/>
      <c r="BA55" s="1641"/>
      <c r="BB55" s="1642"/>
      <c r="BC55" s="1640"/>
      <c r="BD55" s="1641"/>
      <c r="BE55" s="1642"/>
      <c r="BF55" s="1640"/>
      <c r="BG55" s="1641"/>
      <c r="BH55" s="1642"/>
      <c r="BI55" s="1640"/>
      <c r="BJ55" s="1641"/>
      <c r="BK55" s="1641"/>
      <c r="BL55" s="1698"/>
      <c r="BM55" s="1641"/>
      <c r="BN55" s="1641"/>
      <c r="BO55" s="1698"/>
      <c r="BP55" s="1641"/>
      <c r="BQ55" s="1641"/>
      <c r="BR55" s="1698"/>
      <c r="BS55" s="1641"/>
      <c r="BT55" s="1641"/>
      <c r="BU55" s="1698"/>
      <c r="BV55" s="1641"/>
      <c r="BW55" s="1641"/>
      <c r="BX55" s="1696"/>
      <c r="BY55" s="1647"/>
      <c r="BZ55" s="1697"/>
      <c r="CA55" s="285">
        <f t="shared" si="103"/>
        <v>0</v>
      </c>
      <c r="CB55" s="285">
        <f t="shared" si="104"/>
        <v>0</v>
      </c>
      <c r="CC55" s="278">
        <f t="shared" si="124"/>
        <v>0</v>
      </c>
      <c r="CD55" s="285">
        <f t="shared" si="105"/>
        <v>0</v>
      </c>
      <c r="CE55" s="285">
        <f t="shared" si="106"/>
        <v>0</v>
      </c>
      <c r="CF55" s="278">
        <f t="shared" si="125"/>
        <v>0</v>
      </c>
      <c r="CG55" s="285">
        <f t="shared" si="107"/>
        <v>0</v>
      </c>
      <c r="CH55" s="285">
        <f t="shared" si="108"/>
        <v>0</v>
      </c>
      <c r="CI55" s="278">
        <f t="shared" si="126"/>
        <v>0</v>
      </c>
      <c r="CJ55" s="285">
        <f t="shared" si="109"/>
        <v>0</v>
      </c>
      <c r="CK55" s="285">
        <f t="shared" si="110"/>
        <v>0</v>
      </c>
      <c r="CL55" s="278">
        <f t="shared" si="127"/>
        <v>0</v>
      </c>
      <c r="CM55" s="285">
        <f t="shared" si="111"/>
        <v>0</v>
      </c>
      <c r="CN55" s="285">
        <f t="shared" si="112"/>
        <v>0</v>
      </c>
      <c r="CO55" s="278">
        <f t="shared" si="128"/>
        <v>0</v>
      </c>
      <c r="CP55" s="285">
        <f t="shared" si="113"/>
        <v>0</v>
      </c>
      <c r="CQ55" s="285">
        <f t="shared" si="114"/>
        <v>0</v>
      </c>
      <c r="CR55" s="278">
        <f t="shared" si="129"/>
        <v>0</v>
      </c>
      <c r="CS55" s="285">
        <f t="shared" si="115"/>
        <v>0</v>
      </c>
      <c r="CT55" s="285">
        <f t="shared" si="116"/>
        <v>0</v>
      </c>
      <c r="CU55" s="278">
        <f t="shared" si="130"/>
        <v>0</v>
      </c>
      <c r="CV55" s="285">
        <f t="shared" si="117"/>
        <v>0</v>
      </c>
      <c r="CW55" s="285">
        <f t="shared" si="118"/>
        <v>0</v>
      </c>
      <c r="CX55" s="278">
        <f t="shared" si="131"/>
        <v>0</v>
      </c>
    </row>
    <row r="56" spans="1:102" ht="12.75">
      <c r="A56" s="275" t="s">
        <v>282</v>
      </c>
      <c r="B56" s="290">
        <f>IF(SUM(G56+I56+K56+M56+O56+Q56+S56+U56+W56+Y56+AA56+AC56+AE56+AG56)='WPF styczeń 2013'!R51,SUM(G56+I56+K56+M56+O56+Q56+S56+U56+W56+Y56+AA56+AC56+AE56+AG56),"popraw")</f>
        <v>0</v>
      </c>
      <c r="C56" s="291"/>
      <c r="D56" s="292"/>
      <c r="E56" s="279">
        <f t="shared" si="93"/>
        <v>0</v>
      </c>
      <c r="F56" s="280">
        <f t="shared" si="94"/>
        <v>0</v>
      </c>
      <c r="G56" s="473"/>
      <c r="H56" s="474"/>
      <c r="I56" s="473"/>
      <c r="J56" s="474"/>
      <c r="K56" s="473"/>
      <c r="L56" s="474"/>
      <c r="M56" s="473"/>
      <c r="N56" s="474"/>
      <c r="O56" s="473"/>
      <c r="P56" s="474"/>
      <c r="Q56" s="473"/>
      <c r="R56" s="474"/>
      <c r="S56" s="473"/>
      <c r="T56" s="474"/>
      <c r="U56" s="473"/>
      <c r="V56" s="474"/>
      <c r="W56" s="473"/>
      <c r="X56" s="474"/>
      <c r="Y56" s="473"/>
      <c r="Z56" s="474"/>
      <c r="AA56" s="473"/>
      <c r="AB56" s="474"/>
      <c r="AC56" s="473"/>
      <c r="AD56" s="474"/>
      <c r="AE56" s="291">
        <v>0</v>
      </c>
      <c r="AF56" s="292">
        <f>'obligacje 2023'!Y135</f>
        <v>0</v>
      </c>
      <c r="AG56" s="291"/>
      <c r="AH56" s="292">
        <f>'obligacje 2023'!Y142</f>
        <v>0</v>
      </c>
      <c r="AI56" s="291"/>
      <c r="AJ56" s="292">
        <f>'obligacje 2023'!AA142</f>
        <v>0</v>
      </c>
      <c r="AK56" s="291"/>
      <c r="AL56" s="292">
        <f>'obligacje 2023'!AC142</f>
        <v>0</v>
      </c>
      <c r="AM56" s="291"/>
      <c r="AN56" s="292">
        <f>'obligacje 2023'!AE142</f>
        <v>0</v>
      </c>
      <c r="AO56" s="291"/>
      <c r="AP56" s="292">
        <f>'obligacje 2023'!AG142</f>
        <v>0</v>
      </c>
      <c r="AQ56" s="291"/>
      <c r="AR56" s="292">
        <f>'obligacje 2023'!AI142</f>
        <v>0</v>
      </c>
      <c r="AU56" s="275" t="str">
        <f t="shared" si="132"/>
        <v>Obligacje 2023</v>
      </c>
      <c r="AV56" s="276"/>
      <c r="AW56" s="1640"/>
      <c r="AX56" s="1641"/>
      <c r="AY56" s="1642"/>
      <c r="AZ56" s="1640"/>
      <c r="BA56" s="1641"/>
      <c r="BB56" s="1642"/>
      <c r="BC56" s="1640"/>
      <c r="BD56" s="1641"/>
      <c r="BE56" s="1642"/>
      <c r="BF56" s="1640"/>
      <c r="BG56" s="1641"/>
      <c r="BH56" s="1642"/>
      <c r="BI56" s="1640"/>
      <c r="BJ56" s="1641"/>
      <c r="BK56" s="1641"/>
      <c r="BL56" s="1698"/>
      <c r="BM56" s="1641"/>
      <c r="BN56" s="1641"/>
      <c r="BO56" s="1698"/>
      <c r="BP56" s="1641"/>
      <c r="BQ56" s="1641"/>
      <c r="BR56" s="1698"/>
      <c r="BS56" s="1641"/>
      <c r="BT56" s="1641"/>
      <c r="BU56" s="1698"/>
      <c r="BV56" s="1641"/>
      <c r="BW56" s="1641"/>
      <c r="BX56" s="1698"/>
      <c r="BY56" s="1641"/>
      <c r="BZ56" s="1699"/>
      <c r="CA56" s="1696"/>
      <c r="CB56" s="1647"/>
      <c r="CC56" s="1697"/>
      <c r="CD56" s="285">
        <f t="shared" si="105"/>
        <v>0</v>
      </c>
      <c r="CE56" s="285">
        <f t="shared" si="106"/>
        <v>0</v>
      </c>
      <c r="CF56" s="278">
        <f t="shared" si="125"/>
        <v>0</v>
      </c>
      <c r="CG56" s="285">
        <f t="shared" si="107"/>
        <v>0</v>
      </c>
      <c r="CH56" s="285">
        <f t="shared" si="108"/>
        <v>0</v>
      </c>
      <c r="CI56" s="278">
        <f t="shared" si="126"/>
        <v>0</v>
      </c>
      <c r="CJ56" s="285">
        <f t="shared" si="109"/>
        <v>0</v>
      </c>
      <c r="CK56" s="285">
        <f t="shared" si="110"/>
        <v>0</v>
      </c>
      <c r="CL56" s="278">
        <f t="shared" si="127"/>
        <v>0</v>
      </c>
      <c r="CM56" s="285">
        <f t="shared" si="111"/>
        <v>0</v>
      </c>
      <c r="CN56" s="285">
        <f t="shared" si="112"/>
        <v>0</v>
      </c>
      <c r="CO56" s="278">
        <f t="shared" si="128"/>
        <v>0</v>
      </c>
      <c r="CP56" s="285">
        <f t="shared" si="113"/>
        <v>0</v>
      </c>
      <c r="CQ56" s="285">
        <f t="shared" si="114"/>
        <v>0</v>
      </c>
      <c r="CR56" s="278">
        <f t="shared" si="129"/>
        <v>0</v>
      </c>
      <c r="CS56" s="285">
        <f t="shared" si="115"/>
        <v>0</v>
      </c>
      <c r="CT56" s="285">
        <f t="shared" si="116"/>
        <v>0</v>
      </c>
      <c r="CU56" s="278">
        <f t="shared" si="130"/>
        <v>0</v>
      </c>
      <c r="CV56" s="285">
        <f t="shared" si="117"/>
        <v>0</v>
      </c>
      <c r="CW56" s="285">
        <f t="shared" si="118"/>
        <v>0</v>
      </c>
      <c r="CX56" s="278">
        <f t="shared" si="131"/>
        <v>0</v>
      </c>
    </row>
    <row r="57" spans="1:102" ht="13.5" thickBot="1">
      <c r="A57" s="289" t="s">
        <v>283</v>
      </c>
      <c r="B57" s="290"/>
      <c r="C57" s="291"/>
      <c r="D57" s="292"/>
      <c r="E57" s="279">
        <f t="shared" si="93"/>
        <v>0</v>
      </c>
      <c r="F57" s="280">
        <f t="shared" si="94"/>
        <v>0</v>
      </c>
      <c r="G57" s="473"/>
      <c r="H57" s="474"/>
      <c r="I57" s="473"/>
      <c r="J57" s="474"/>
      <c r="K57" s="473"/>
      <c r="L57" s="474"/>
      <c r="M57" s="473"/>
      <c r="N57" s="474"/>
      <c r="O57" s="473"/>
      <c r="P57" s="474"/>
      <c r="Q57" s="473"/>
      <c r="R57" s="474"/>
      <c r="S57" s="473"/>
      <c r="T57" s="474"/>
      <c r="U57" s="473"/>
      <c r="V57" s="474"/>
      <c r="W57" s="473"/>
      <c r="X57" s="474"/>
      <c r="Y57" s="473"/>
      <c r="Z57" s="474"/>
      <c r="AA57" s="473"/>
      <c r="AB57" s="474"/>
      <c r="AC57" s="473"/>
      <c r="AD57" s="474"/>
      <c r="AE57" s="473"/>
      <c r="AF57" s="474"/>
      <c r="AG57" s="291"/>
      <c r="AH57" s="292"/>
      <c r="AI57" s="291"/>
      <c r="AJ57" s="292"/>
      <c r="AK57" s="291"/>
      <c r="AL57" s="292"/>
      <c r="AM57" s="291"/>
      <c r="AN57" s="292"/>
      <c r="AO57" s="291"/>
      <c r="AP57" s="292"/>
      <c r="AQ57" s="291"/>
      <c r="AR57" s="292"/>
      <c r="AU57" s="275" t="str">
        <f t="shared" si="132"/>
        <v>Obligacje inwestycje</v>
      </c>
      <c r="AV57" s="276"/>
      <c r="AW57" s="1643"/>
      <c r="AX57" s="1644"/>
      <c r="AY57" s="1645"/>
      <c r="AZ57" s="1643"/>
      <c r="BA57" s="1644"/>
      <c r="BB57" s="1645"/>
      <c r="BC57" s="1649"/>
      <c r="BD57" s="1650"/>
      <c r="BE57" s="1651"/>
      <c r="BF57" s="1649"/>
      <c r="BG57" s="1650"/>
      <c r="BH57" s="1651"/>
      <c r="BI57" s="1649"/>
      <c r="BJ57" s="1650"/>
      <c r="BK57" s="1650"/>
      <c r="BL57" s="1700"/>
      <c r="BM57" s="1650"/>
      <c r="BN57" s="1650"/>
      <c r="BO57" s="1700"/>
      <c r="BP57" s="1650"/>
      <c r="BQ57" s="1650"/>
      <c r="BR57" s="1700"/>
      <c r="BS57" s="1650"/>
      <c r="BT57" s="1650"/>
      <c r="BU57" s="1700"/>
      <c r="BV57" s="1650"/>
      <c r="BW57" s="1650"/>
      <c r="BX57" s="1700"/>
      <c r="BY57" s="1650"/>
      <c r="BZ57" s="1701"/>
      <c r="CA57" s="1700"/>
      <c r="CB57" s="1650"/>
      <c r="CC57" s="1701"/>
      <c r="CD57" s="1693"/>
      <c r="CE57" s="1694"/>
      <c r="CF57" s="1695"/>
      <c r="CG57" s="1693"/>
      <c r="CH57" s="1694"/>
      <c r="CI57" s="1695"/>
      <c r="CJ57" s="1693"/>
      <c r="CK57" s="1694"/>
      <c r="CL57" s="1695"/>
      <c r="CM57" s="1693"/>
      <c r="CN57" s="1694"/>
      <c r="CO57" s="1695"/>
      <c r="CP57" s="1693"/>
      <c r="CQ57" s="1694"/>
      <c r="CR57" s="1695"/>
      <c r="CS57" s="1693"/>
      <c r="CT57" s="1694"/>
      <c r="CU57" s="1695"/>
      <c r="CV57" s="1693"/>
      <c r="CW57" s="1694"/>
      <c r="CX57" s="1695"/>
    </row>
    <row r="58" spans="1:102" ht="13.5" thickBot="1">
      <c r="A58" s="250" t="s">
        <v>284</v>
      </c>
      <c r="B58" s="299">
        <f t="shared" ref="B58:F58" si="133">SUM(B36:B57)</f>
        <v>70050000</v>
      </c>
      <c r="C58" s="255">
        <f t="shared" si="133"/>
        <v>3550000</v>
      </c>
      <c r="D58" s="300">
        <f t="shared" si="133"/>
        <v>1724435.8</v>
      </c>
      <c r="E58" s="255">
        <f t="shared" si="133"/>
        <v>66200000</v>
      </c>
      <c r="F58" s="300">
        <f t="shared" si="133"/>
        <v>23010269.260000005</v>
      </c>
      <c r="G58" s="255">
        <f>G42+G44+SUM(G46:G57)</f>
        <v>6300000</v>
      </c>
      <c r="H58" s="255">
        <f t="shared" ref="H58:AH58" si="134">H42+H44+SUM(H46:H57)</f>
        <v>2096893.6000000003</v>
      </c>
      <c r="I58" s="255">
        <f t="shared" si="134"/>
        <v>9500000</v>
      </c>
      <c r="J58" s="255">
        <f t="shared" si="134"/>
        <v>2643817.5300000003</v>
      </c>
      <c r="K58" s="255">
        <f t="shared" si="134"/>
        <v>3500000</v>
      </c>
      <c r="L58" s="255">
        <f t="shared" si="134"/>
        <v>2250000</v>
      </c>
      <c r="M58" s="255">
        <f t="shared" si="134"/>
        <v>3900000</v>
      </c>
      <c r="N58" s="255">
        <f t="shared" si="134"/>
        <v>2837818.16</v>
      </c>
      <c r="O58" s="255">
        <f t="shared" si="134"/>
        <v>6000000</v>
      </c>
      <c r="P58" s="255">
        <f t="shared" si="134"/>
        <v>2725027.45</v>
      </c>
      <c r="Q58" s="255">
        <f t="shared" si="134"/>
        <v>6000000</v>
      </c>
      <c r="R58" s="255">
        <f t="shared" si="134"/>
        <v>2467077.4299999997</v>
      </c>
      <c r="S58" s="255">
        <f t="shared" si="134"/>
        <v>6000000</v>
      </c>
      <c r="T58" s="255">
        <f t="shared" si="134"/>
        <v>2111063.77</v>
      </c>
      <c r="U58" s="255">
        <f t="shared" si="134"/>
        <v>7000000</v>
      </c>
      <c r="V58" s="255">
        <f t="shared" si="134"/>
        <v>1787954.71</v>
      </c>
      <c r="W58" s="255">
        <f t="shared" si="134"/>
        <v>6300000</v>
      </c>
      <c r="X58" s="255">
        <f t="shared" si="134"/>
        <v>1404725.66</v>
      </c>
      <c r="Y58" s="255">
        <f t="shared" si="134"/>
        <v>4000000</v>
      </c>
      <c r="Z58" s="255">
        <f t="shared" si="134"/>
        <v>1055490.94</v>
      </c>
      <c r="AA58" s="255">
        <f t="shared" si="134"/>
        <v>6000000</v>
      </c>
      <c r="AB58" s="255">
        <f t="shared" si="134"/>
        <v>858218.19000000006</v>
      </c>
      <c r="AC58" s="255">
        <f t="shared" si="134"/>
        <v>5000000</v>
      </c>
      <c r="AD58" s="255">
        <f t="shared" si="134"/>
        <v>566681.79999999993</v>
      </c>
      <c r="AE58" s="255">
        <f t="shared" si="134"/>
        <v>3000000</v>
      </c>
      <c r="AF58" s="255">
        <f t="shared" si="134"/>
        <v>205500.02000000005</v>
      </c>
      <c r="AG58" s="255">
        <f t="shared" si="134"/>
        <v>0</v>
      </c>
      <c r="AH58" s="255">
        <f t="shared" si="134"/>
        <v>0</v>
      </c>
      <c r="AI58" s="255">
        <f t="shared" ref="AI58:AR58" si="135">AI42+AI44+SUM(AI46:AI57)</f>
        <v>0</v>
      </c>
      <c r="AJ58" s="255">
        <f t="shared" si="135"/>
        <v>0</v>
      </c>
      <c r="AK58" s="255">
        <f t="shared" si="135"/>
        <v>0</v>
      </c>
      <c r="AL58" s="255">
        <f t="shared" si="135"/>
        <v>0</v>
      </c>
      <c r="AM58" s="255">
        <f t="shared" si="135"/>
        <v>0</v>
      </c>
      <c r="AN58" s="255">
        <f t="shared" si="135"/>
        <v>0</v>
      </c>
      <c r="AO58" s="255">
        <f t="shared" si="135"/>
        <v>0</v>
      </c>
      <c r="AP58" s="255">
        <f t="shared" si="135"/>
        <v>0</v>
      </c>
      <c r="AQ58" s="255">
        <f t="shared" si="135"/>
        <v>0</v>
      </c>
      <c r="AR58" s="255">
        <f t="shared" si="135"/>
        <v>0</v>
      </c>
      <c r="AU58" s="301"/>
      <c r="AV58" s="302"/>
      <c r="AW58" s="303">
        <f>SUM(AW36:AW57)</f>
        <v>45900000</v>
      </c>
      <c r="AX58" s="303">
        <f t="shared" ref="AX58:CF58" si="136">SUM(AX36:AX57)</f>
        <v>10697904.890000001</v>
      </c>
      <c r="AY58" s="304">
        <f t="shared" si="136"/>
        <v>56597904.890000001</v>
      </c>
      <c r="AZ58" s="303">
        <f t="shared" si="136"/>
        <v>47700000</v>
      </c>
      <c r="BA58" s="303">
        <f t="shared" si="136"/>
        <v>12482049.48</v>
      </c>
      <c r="BB58" s="304">
        <f t="shared" si="136"/>
        <v>60182049.480000004</v>
      </c>
      <c r="BC58" s="305">
        <f t="shared" si="136"/>
        <v>52200000</v>
      </c>
      <c r="BD58" s="305">
        <f t="shared" si="136"/>
        <v>15786776.580000002</v>
      </c>
      <c r="BE58" s="306">
        <f t="shared" si="136"/>
        <v>67986776.580000013</v>
      </c>
      <c r="BF58" s="305">
        <f t="shared" si="136"/>
        <v>49300000</v>
      </c>
      <c r="BG58" s="305">
        <f t="shared" si="136"/>
        <v>13181739.970000003</v>
      </c>
      <c r="BH58" s="306">
        <f t="shared" si="136"/>
        <v>62481739.969999999</v>
      </c>
      <c r="BI58" s="305">
        <f t="shared" si="136"/>
        <v>43300000</v>
      </c>
      <c r="BJ58" s="305">
        <f t="shared" si="136"/>
        <v>10456712.520000001</v>
      </c>
      <c r="BK58" s="306">
        <f t="shared" si="136"/>
        <v>53756712.519999996</v>
      </c>
      <c r="BL58" s="305">
        <f t="shared" si="136"/>
        <v>37300000</v>
      </c>
      <c r="BM58" s="305">
        <f t="shared" si="136"/>
        <v>7989635.0899999999</v>
      </c>
      <c r="BN58" s="306">
        <f t="shared" si="136"/>
        <v>45289635.090000004</v>
      </c>
      <c r="BO58" s="305">
        <f>SUM(BO36:BO51)</f>
        <v>31300000</v>
      </c>
      <c r="BP58" s="305">
        <f t="shared" si="136"/>
        <v>5878571.3199999994</v>
      </c>
      <c r="BQ58" s="306">
        <f t="shared" si="136"/>
        <v>37178571.32</v>
      </c>
      <c r="BR58" s="305">
        <f t="shared" si="136"/>
        <v>24300000</v>
      </c>
      <c r="BS58" s="305">
        <f t="shared" si="136"/>
        <v>4090616.6100000003</v>
      </c>
      <c r="BT58" s="306">
        <f t="shared" si="136"/>
        <v>28390616.609999999</v>
      </c>
      <c r="BU58" s="305">
        <f t="shared" si="136"/>
        <v>18000000</v>
      </c>
      <c r="BV58" s="305">
        <f t="shared" si="136"/>
        <v>2685890.95</v>
      </c>
      <c r="BW58" s="306">
        <f t="shared" si="136"/>
        <v>20685890.950000003</v>
      </c>
      <c r="BX58" s="305">
        <f t="shared" si="136"/>
        <v>14000000</v>
      </c>
      <c r="BY58" s="305">
        <f t="shared" si="136"/>
        <v>1630400.01</v>
      </c>
      <c r="BZ58" s="306">
        <f t="shared" si="136"/>
        <v>15630400.010000002</v>
      </c>
      <c r="CA58" s="305">
        <f t="shared" si="136"/>
        <v>8000000</v>
      </c>
      <c r="CB58" s="305">
        <f t="shared" si="136"/>
        <v>772181.82</v>
      </c>
      <c r="CC58" s="306">
        <f t="shared" si="136"/>
        <v>8772181.8200000003</v>
      </c>
      <c r="CD58" s="305">
        <f t="shared" si="136"/>
        <v>3000000</v>
      </c>
      <c r="CE58" s="305">
        <f t="shared" si="136"/>
        <v>205500.02000000005</v>
      </c>
      <c r="CF58" s="306">
        <f t="shared" si="136"/>
        <v>3205500.02</v>
      </c>
      <c r="CG58" s="305">
        <f t="shared" ref="CG58:CI58" si="137">SUM(CG36:CG57)</f>
        <v>3000000</v>
      </c>
      <c r="CH58" s="305">
        <f t="shared" si="137"/>
        <v>205500.02000000005</v>
      </c>
      <c r="CI58" s="306">
        <f t="shared" si="137"/>
        <v>3205500.02</v>
      </c>
      <c r="CJ58" s="305">
        <f t="shared" ref="CJ58:CX58" si="138">SUM(CJ36:CJ57)</f>
        <v>3000000</v>
      </c>
      <c r="CK58" s="305">
        <f t="shared" si="138"/>
        <v>205500.02000000005</v>
      </c>
      <c r="CL58" s="306">
        <f t="shared" si="138"/>
        <v>3205500.02</v>
      </c>
      <c r="CM58" s="305">
        <f t="shared" si="138"/>
        <v>3000000</v>
      </c>
      <c r="CN58" s="305">
        <f t="shared" si="138"/>
        <v>205500.02000000005</v>
      </c>
      <c r="CO58" s="306">
        <f t="shared" si="138"/>
        <v>3205500.02</v>
      </c>
      <c r="CP58" s="305">
        <f t="shared" si="138"/>
        <v>3000000</v>
      </c>
      <c r="CQ58" s="305">
        <f t="shared" si="138"/>
        <v>205500.02000000005</v>
      </c>
      <c r="CR58" s="306">
        <f t="shared" si="138"/>
        <v>3205500.02</v>
      </c>
      <c r="CS58" s="305">
        <f t="shared" si="138"/>
        <v>3000000</v>
      </c>
      <c r="CT58" s="305">
        <f t="shared" si="138"/>
        <v>205500.02000000005</v>
      </c>
      <c r="CU58" s="306">
        <f t="shared" si="138"/>
        <v>3205500.02</v>
      </c>
      <c r="CV58" s="305">
        <f t="shared" si="138"/>
        <v>3000000</v>
      </c>
      <c r="CW58" s="305">
        <f t="shared" si="138"/>
        <v>205500.02000000005</v>
      </c>
      <c r="CX58" s="306">
        <f t="shared" si="138"/>
        <v>3205500.02</v>
      </c>
    </row>
    <row r="59" spans="1:102" ht="14.25" thickBot="1">
      <c r="A59" s="231"/>
      <c r="B59" s="258" t="s">
        <v>263</v>
      </c>
      <c r="C59" s="1634">
        <f>SUM(C58,D58)</f>
        <v>5274435.8</v>
      </c>
      <c r="D59" s="1635"/>
      <c r="E59" s="1634">
        <f>SUM(E58,F58)</f>
        <v>89210269.260000005</v>
      </c>
      <c r="F59" s="1635"/>
      <c r="G59" s="1634">
        <f>SUM(G58,H58)</f>
        <v>8396893.5999999996</v>
      </c>
      <c r="H59" s="1635"/>
      <c r="I59" s="1634">
        <f>SUM(I58,J58)</f>
        <v>12143817.530000001</v>
      </c>
      <c r="J59" s="1635"/>
      <c r="K59" s="1634">
        <f>SUM(K58,L58)</f>
        <v>5750000</v>
      </c>
      <c r="L59" s="1635"/>
      <c r="M59" s="1634">
        <f>SUM(M58,N58)</f>
        <v>6737818.1600000001</v>
      </c>
      <c r="N59" s="1635"/>
      <c r="O59" s="1634">
        <f>SUM(O58,P58)</f>
        <v>8725027.4499999993</v>
      </c>
      <c r="P59" s="1635"/>
      <c r="Q59" s="1634">
        <f>SUM(Q58,R58)</f>
        <v>8467077.4299999997</v>
      </c>
      <c r="R59" s="1635"/>
      <c r="S59" s="1634">
        <f>SUM(S58,T58)</f>
        <v>8111063.7699999996</v>
      </c>
      <c r="T59" s="1635"/>
      <c r="U59" s="1634">
        <f>SUM(U58,V58)</f>
        <v>8787954.7100000009</v>
      </c>
      <c r="V59" s="1635"/>
      <c r="W59" s="1626">
        <f>SUM(W58,X58)</f>
        <v>7704725.6600000001</v>
      </c>
      <c r="X59" s="1627"/>
      <c r="Y59" s="1626">
        <f>SUM(Y58,Z58)</f>
        <v>5055490.9399999995</v>
      </c>
      <c r="Z59" s="1627"/>
      <c r="AA59" s="1626">
        <f>SUM(AA58,AB58)</f>
        <v>6858218.1900000004</v>
      </c>
      <c r="AB59" s="1636"/>
      <c r="AC59" s="1626">
        <f>SUM(AC58,AD58)</f>
        <v>5566681.7999999998</v>
      </c>
      <c r="AD59" s="1627"/>
      <c r="AE59" s="1626">
        <f>SUM(AE58,AF58)</f>
        <v>3205500.02</v>
      </c>
      <c r="AF59" s="1627"/>
      <c r="AG59" s="1626">
        <f>SUM(AG58,AH58)</f>
        <v>0</v>
      </c>
      <c r="AH59" s="1627"/>
      <c r="AI59" s="1626">
        <f>SUM(AI58,AJ58)</f>
        <v>0</v>
      </c>
      <c r="AJ59" s="1627"/>
      <c r="AK59" s="1626">
        <f>SUM(AK58,AL58)</f>
        <v>0</v>
      </c>
      <c r="AL59" s="1627"/>
      <c r="AM59" s="1626">
        <f>SUM(AM58,AN58)</f>
        <v>0</v>
      </c>
      <c r="AN59" s="1627"/>
      <c r="AO59" s="1626">
        <f>SUM(AO58,AP58)</f>
        <v>0</v>
      </c>
      <c r="AP59" s="1627"/>
      <c r="AQ59" s="1626">
        <f>SUM(AQ58,AR58)</f>
        <v>0</v>
      </c>
      <c r="AR59" s="1627"/>
      <c r="AU59" s="307"/>
      <c r="AV59" s="308"/>
      <c r="AW59" s="308"/>
      <c r="AX59" s="308"/>
      <c r="AY59" s="309"/>
      <c r="AZ59" s="308"/>
      <c r="BA59" s="308"/>
      <c r="BB59" s="309"/>
      <c r="BC59" s="308"/>
      <c r="BD59" s="308"/>
      <c r="BE59" s="309"/>
      <c r="BF59" s="308"/>
      <c r="BG59" s="308"/>
      <c r="BH59" s="309"/>
      <c r="BI59" s="308"/>
      <c r="BJ59" s="308"/>
      <c r="BK59" s="309"/>
      <c r="BL59" s="308"/>
      <c r="BM59" s="308"/>
      <c r="BN59" s="309"/>
      <c r="BO59" s="308"/>
      <c r="BP59" s="308"/>
      <c r="BQ59" s="309"/>
      <c r="BR59" s="308"/>
      <c r="BS59" s="308"/>
      <c r="BT59" s="309"/>
      <c r="BU59" s="308"/>
      <c r="BV59" s="308"/>
      <c r="BW59" s="309"/>
      <c r="BX59" s="308"/>
      <c r="BY59" s="308"/>
      <c r="BZ59" s="309"/>
      <c r="CA59" s="308"/>
      <c r="CB59" s="308"/>
      <c r="CC59" s="309"/>
      <c r="CD59" s="308"/>
      <c r="CE59" s="308"/>
      <c r="CF59" s="309"/>
      <c r="CG59" s="308"/>
      <c r="CH59" s="308"/>
      <c r="CI59" s="309"/>
      <c r="CJ59" s="308"/>
      <c r="CK59" s="308"/>
      <c r="CL59" s="309"/>
      <c r="CM59" s="308"/>
      <c r="CN59" s="308"/>
      <c r="CO59" s="309"/>
      <c r="CP59" s="308"/>
      <c r="CQ59" s="308"/>
      <c r="CR59" s="309"/>
      <c r="CS59" s="308"/>
      <c r="CT59" s="308"/>
      <c r="CU59" s="309"/>
      <c r="CV59" s="308"/>
      <c r="CW59" s="308"/>
      <c r="CX59" s="309"/>
    </row>
    <row r="60" spans="1:102" ht="13.5" thickBot="1">
      <c r="A60" s="1628" t="s">
        <v>285</v>
      </c>
      <c r="B60" s="1629"/>
      <c r="C60" s="310">
        <f t="shared" ref="C60:AH60" si="139">SUM(C11,C31,C58)</f>
        <v>4220898</v>
      </c>
      <c r="D60" s="310">
        <f t="shared" si="139"/>
        <v>1839245.49</v>
      </c>
      <c r="E60" s="310">
        <f t="shared" si="139"/>
        <v>68410959.290000007</v>
      </c>
      <c r="F60" s="310">
        <f t="shared" si="139"/>
        <v>23227605.510000005</v>
      </c>
      <c r="G60" s="310">
        <f t="shared" si="139"/>
        <v>6998867</v>
      </c>
      <c r="H60" s="310">
        <f t="shared" si="139"/>
        <v>2173458.14</v>
      </c>
      <c r="I60" s="310">
        <f t="shared" si="139"/>
        <v>10160865</v>
      </c>
      <c r="J60" s="310">
        <f t="shared" si="139"/>
        <v>2980906.7100000004</v>
      </c>
      <c r="K60" s="310">
        <f t="shared" si="139"/>
        <v>4101395</v>
      </c>
      <c r="L60" s="310">
        <f t="shared" si="139"/>
        <v>2845891</v>
      </c>
      <c r="M60" s="310">
        <f t="shared" si="139"/>
        <v>5237992.33</v>
      </c>
      <c r="N60" s="310">
        <f t="shared" si="139"/>
        <v>3487706.41</v>
      </c>
      <c r="O60" s="310">
        <f t="shared" si="139"/>
        <v>7868276.5600000005</v>
      </c>
      <c r="P60" s="310">
        <f t="shared" si="139"/>
        <v>3333389.41</v>
      </c>
      <c r="Q60" s="310">
        <f t="shared" si="139"/>
        <v>7838963.5600000005</v>
      </c>
      <c r="R60" s="310">
        <f t="shared" si="139"/>
        <v>3014419.9799999995</v>
      </c>
      <c r="S60" s="310">
        <f t="shared" si="139"/>
        <v>7787968.5600000005</v>
      </c>
      <c r="T60" s="310">
        <f t="shared" si="139"/>
        <v>2599038.04</v>
      </c>
      <c r="U60" s="310">
        <f t="shared" si="139"/>
        <v>8691150.5600000005</v>
      </c>
      <c r="V60" s="310">
        <f t="shared" si="139"/>
        <v>2218251.54</v>
      </c>
      <c r="W60" s="310">
        <f t="shared" si="139"/>
        <v>7970807.5600000005</v>
      </c>
      <c r="X60" s="310">
        <f t="shared" si="139"/>
        <v>1780025.19</v>
      </c>
      <c r="Y60" s="310">
        <f t="shared" si="139"/>
        <v>5670807.5600000005</v>
      </c>
      <c r="Z60" s="311">
        <f t="shared" si="139"/>
        <v>1375044.04</v>
      </c>
      <c r="AA60" s="310">
        <f t="shared" si="139"/>
        <v>7670807.5600000005</v>
      </c>
      <c r="AB60" s="312">
        <f t="shared" si="139"/>
        <v>1122524.96</v>
      </c>
      <c r="AC60" s="310">
        <f t="shared" si="139"/>
        <v>6670807.5600000005</v>
      </c>
      <c r="AD60" s="310">
        <f t="shared" si="139"/>
        <v>776042.12999999989</v>
      </c>
      <c r="AE60" s="310">
        <f t="shared" si="139"/>
        <v>4670807.5600000005</v>
      </c>
      <c r="AF60" s="310">
        <f t="shared" si="139"/>
        <v>359413.92000000004</v>
      </c>
      <c r="AG60" s="310">
        <f t="shared" si="139"/>
        <v>1670807.56</v>
      </c>
      <c r="AH60" s="310">
        <f t="shared" si="139"/>
        <v>98667.569999999992</v>
      </c>
      <c r="AI60" s="310">
        <f t="shared" ref="AI60:AR60" si="140">SUM(AI11,AI31,AI58)</f>
        <v>1176631.56</v>
      </c>
      <c r="AJ60" s="310">
        <f t="shared" si="140"/>
        <v>45700</v>
      </c>
      <c r="AK60" s="310">
        <f t="shared" si="140"/>
        <v>1164631.8</v>
      </c>
      <c r="AL60" s="310">
        <f t="shared" si="140"/>
        <v>24920</v>
      </c>
      <c r="AM60" s="310">
        <f t="shared" si="140"/>
        <v>0</v>
      </c>
      <c r="AN60" s="310">
        <f t="shared" si="140"/>
        <v>0</v>
      </c>
      <c r="AO60" s="310">
        <f t="shared" si="140"/>
        <v>0</v>
      </c>
      <c r="AP60" s="310">
        <f t="shared" si="140"/>
        <v>0</v>
      </c>
      <c r="AQ60" s="310">
        <f t="shared" si="140"/>
        <v>0</v>
      </c>
      <c r="AR60" s="310">
        <f t="shared" si="140"/>
        <v>0</v>
      </c>
      <c r="AU60" s="1630" t="s">
        <v>286</v>
      </c>
      <c r="AV60" s="1631"/>
      <c r="AW60" s="313">
        <f t="shared" ref="AW60:CF60" si="141">SUM(AW11,AW31,AW58)</f>
        <v>48110959.289999999</v>
      </c>
      <c r="AX60" s="313">
        <f t="shared" si="141"/>
        <v>10838676.600000001</v>
      </c>
      <c r="AY60" s="313">
        <f t="shared" si="141"/>
        <v>58949635.890000001</v>
      </c>
      <c r="AZ60" s="313">
        <f t="shared" si="141"/>
        <v>58932094.289999999</v>
      </c>
      <c r="BA60" s="313">
        <f t="shared" si="141"/>
        <v>15895315.010000002</v>
      </c>
      <c r="BB60" s="313">
        <f t="shared" si="141"/>
        <v>74827409.300000012</v>
      </c>
      <c r="BC60" s="313">
        <f t="shared" si="141"/>
        <v>73090460.290000007</v>
      </c>
      <c r="BD60" s="313">
        <f t="shared" si="141"/>
        <v>20796439.640000001</v>
      </c>
      <c r="BE60" s="313">
        <f t="shared" si="141"/>
        <v>93886899.930000022</v>
      </c>
      <c r="BF60" s="313">
        <f t="shared" si="141"/>
        <v>68852467.960000008</v>
      </c>
      <c r="BG60" s="313">
        <f t="shared" si="141"/>
        <v>17381791.780000001</v>
      </c>
      <c r="BH60" s="313">
        <f t="shared" si="141"/>
        <v>86234259.74000001</v>
      </c>
      <c r="BI60" s="313">
        <f t="shared" si="141"/>
        <v>60984191.400000006</v>
      </c>
      <c r="BJ60" s="313">
        <f t="shared" si="141"/>
        <v>13904347.370000001</v>
      </c>
      <c r="BK60" s="313">
        <f t="shared" si="141"/>
        <v>74888538.769999996</v>
      </c>
      <c r="BL60" s="313">
        <f t="shared" si="141"/>
        <v>53145227.840000004</v>
      </c>
      <c r="BM60" s="313">
        <f t="shared" si="141"/>
        <v>10848127.390000001</v>
      </c>
      <c r="BN60" s="313">
        <f t="shared" si="141"/>
        <v>63993355.230000004</v>
      </c>
      <c r="BO60" s="313">
        <f t="shared" si="141"/>
        <v>45357259.280000001</v>
      </c>
      <c r="BP60" s="313">
        <f t="shared" si="141"/>
        <v>8207289.3499999996</v>
      </c>
      <c r="BQ60" s="313">
        <f t="shared" si="141"/>
        <v>53564548.630000003</v>
      </c>
      <c r="BR60" s="313">
        <f t="shared" si="141"/>
        <v>36666108.719999999</v>
      </c>
      <c r="BS60" s="313">
        <f t="shared" si="141"/>
        <v>5947237.8100000005</v>
      </c>
      <c r="BT60" s="313">
        <f t="shared" si="141"/>
        <v>42613346.530000001</v>
      </c>
      <c r="BU60" s="313">
        <f t="shared" si="141"/>
        <v>28695301.16</v>
      </c>
      <c r="BV60" s="313">
        <f t="shared" si="141"/>
        <v>4125412.62</v>
      </c>
      <c r="BW60" s="313">
        <f t="shared" si="141"/>
        <v>32820713.780000005</v>
      </c>
      <c r="BX60" s="313">
        <f t="shared" si="141"/>
        <v>23024493.600000001</v>
      </c>
      <c r="BY60" s="313">
        <f t="shared" si="141"/>
        <v>2708268.58</v>
      </c>
      <c r="BZ60" s="313">
        <f t="shared" si="141"/>
        <v>25732762.18</v>
      </c>
      <c r="CA60" s="313">
        <f t="shared" si="141"/>
        <v>15353686.039999999</v>
      </c>
      <c r="CB60" s="313">
        <f t="shared" si="141"/>
        <v>1543443.62</v>
      </c>
      <c r="CC60" s="313">
        <f t="shared" si="141"/>
        <v>16897129.66</v>
      </c>
      <c r="CD60" s="313">
        <f t="shared" si="141"/>
        <v>8682878.4800000004</v>
      </c>
      <c r="CE60" s="313">
        <f t="shared" si="141"/>
        <v>725801.49</v>
      </c>
      <c r="CF60" s="313">
        <f t="shared" si="141"/>
        <v>9408679.9700000007</v>
      </c>
      <c r="CG60" s="313">
        <f t="shared" ref="CG60:CI60" si="142">SUM(CG11,CG31,CG58)</f>
        <v>7012070.9199999999</v>
      </c>
      <c r="CH60" s="313">
        <f t="shared" si="142"/>
        <v>530087.59000000008</v>
      </c>
      <c r="CI60" s="313">
        <f t="shared" si="142"/>
        <v>7542158.5099999998</v>
      </c>
      <c r="CJ60" s="313">
        <f t="shared" ref="CJ60:CX60" si="143">SUM(CJ11,CJ31,CJ58)</f>
        <v>5341263.3600000003</v>
      </c>
      <c r="CK60" s="313">
        <f t="shared" si="143"/>
        <v>389320.02</v>
      </c>
      <c r="CL60" s="313">
        <f t="shared" si="143"/>
        <v>5730583.3800000008</v>
      </c>
      <c r="CM60" s="313">
        <f t="shared" si="143"/>
        <v>4164631.8</v>
      </c>
      <c r="CN60" s="313">
        <f t="shared" si="143"/>
        <v>301820.02</v>
      </c>
      <c r="CO60" s="313">
        <f t="shared" si="143"/>
        <v>4466451.82</v>
      </c>
      <c r="CP60" s="313">
        <f t="shared" si="143"/>
        <v>3000000</v>
      </c>
      <c r="CQ60" s="313">
        <f t="shared" si="143"/>
        <v>243420.02000000005</v>
      </c>
      <c r="CR60" s="313">
        <f t="shared" si="143"/>
        <v>3243420.02</v>
      </c>
      <c r="CS60" s="313">
        <f t="shared" si="143"/>
        <v>3000000</v>
      </c>
      <c r="CT60" s="313">
        <f t="shared" si="143"/>
        <v>328400.02</v>
      </c>
      <c r="CU60" s="313">
        <f t="shared" si="143"/>
        <v>3328400.02</v>
      </c>
      <c r="CV60" s="313">
        <f t="shared" si="143"/>
        <v>3000000</v>
      </c>
      <c r="CW60" s="313">
        <f t="shared" si="143"/>
        <v>319800.02</v>
      </c>
      <c r="CX60" s="313">
        <f t="shared" si="143"/>
        <v>3319800.02</v>
      </c>
    </row>
    <row r="61" spans="1:102" ht="13.5" thickBot="1">
      <c r="A61" s="1632" t="s">
        <v>287</v>
      </c>
      <c r="B61" s="1633"/>
      <c r="C61" s="314"/>
      <c r="D61" s="315">
        <f>SUM(C60,D60)</f>
        <v>6060143.4900000002</v>
      </c>
      <c r="E61" s="316"/>
      <c r="F61" s="315">
        <f>SUM(E60,F60)</f>
        <v>91638564.800000012</v>
      </c>
      <c r="G61" s="317"/>
      <c r="H61" s="315">
        <f>SUM(G60,H60)</f>
        <v>9172325.1400000006</v>
      </c>
      <c r="I61" s="317"/>
      <c r="J61" s="315">
        <f>SUM(I60,J60)</f>
        <v>13141771.710000001</v>
      </c>
      <c r="K61" s="317"/>
      <c r="L61" s="315">
        <f>SUM(K60,L60)</f>
        <v>6947286</v>
      </c>
      <c r="M61" s="317"/>
      <c r="N61" s="315">
        <f>SUM(M60,N60)</f>
        <v>8725698.7400000002</v>
      </c>
      <c r="O61" s="317"/>
      <c r="P61" s="315">
        <f>SUM(O60,P60)</f>
        <v>11201665.970000001</v>
      </c>
      <c r="Q61" s="317"/>
      <c r="R61" s="315">
        <f>SUM(Q60,R60)</f>
        <v>10853383.539999999</v>
      </c>
      <c r="S61" s="317"/>
      <c r="T61" s="315">
        <f>SUM(S60,T60)</f>
        <v>10387006.600000001</v>
      </c>
      <c r="U61" s="317"/>
      <c r="V61" s="315">
        <f>SUM(U60,V60)</f>
        <v>10909402.100000001</v>
      </c>
      <c r="W61" s="317"/>
      <c r="X61" s="315">
        <f>SUM(W60,X60)</f>
        <v>9750832.75</v>
      </c>
      <c r="Y61" s="316"/>
      <c r="Z61" s="315">
        <f>SUM(Y60,Z60)</f>
        <v>7045851.6000000006</v>
      </c>
      <c r="AA61" s="316"/>
      <c r="AB61" s="315">
        <f>SUM(AA60,AB60)</f>
        <v>8793332.5199999996</v>
      </c>
      <c r="AC61" s="316"/>
      <c r="AD61" s="315">
        <f>SUM(AC60,AD60)</f>
        <v>7446849.6900000004</v>
      </c>
      <c r="AE61" s="316"/>
      <c r="AF61" s="315">
        <f>SUM(AE60,AF60)</f>
        <v>5030221.4800000004</v>
      </c>
      <c r="AG61" s="316"/>
      <c r="AH61" s="315">
        <f>SUM(AG60,AH60)</f>
        <v>1769475.1300000001</v>
      </c>
      <c r="AI61" s="316"/>
      <c r="AJ61" s="315">
        <f>SUM(AI60,AJ60)</f>
        <v>1222331.56</v>
      </c>
      <c r="AK61" s="316"/>
      <c r="AL61" s="315">
        <f>SUM(AK60,AL60)</f>
        <v>1189551.8</v>
      </c>
      <c r="AM61" s="316"/>
      <c r="AN61" s="315">
        <f>SUM(AM60,AN60)</f>
        <v>0</v>
      </c>
      <c r="AO61" s="316"/>
      <c r="AP61" s="315">
        <f>SUM(AO60,AP60)</f>
        <v>0</v>
      </c>
      <c r="AQ61" s="316"/>
      <c r="AR61" s="315">
        <f>SUM(AQ60,AR60)</f>
        <v>0</v>
      </c>
      <c r="AU61" s="318"/>
      <c r="AV61" s="318"/>
      <c r="AW61" s="319"/>
      <c r="AX61" s="319"/>
      <c r="AY61" s="320">
        <f>AY58+AY31+AY11</f>
        <v>58949635.890000001</v>
      </c>
      <c r="AZ61" s="321"/>
      <c r="BA61" s="321"/>
      <c r="BB61" s="320">
        <f>BB58+BB31+BB11</f>
        <v>74827409.300000012</v>
      </c>
      <c r="BC61" s="321"/>
      <c r="BD61" s="321"/>
      <c r="BE61" s="320">
        <f>BE58+BE31+BE11</f>
        <v>93886899.930000022</v>
      </c>
      <c r="BF61" s="321"/>
      <c r="BG61" s="321"/>
      <c r="BH61" s="320">
        <f>BH58+BH31+BH11</f>
        <v>86234259.74000001</v>
      </c>
      <c r="BI61" s="321"/>
      <c r="BJ61" s="321"/>
      <c r="BK61" s="320">
        <f>BK58+BK31+BK11</f>
        <v>74888538.769999996</v>
      </c>
      <c r="BL61" s="322"/>
      <c r="BM61" s="321"/>
      <c r="BN61" s="320">
        <f>BN58+BN31+BN11</f>
        <v>63993355.230000004</v>
      </c>
      <c r="BO61" s="323"/>
      <c r="BP61" s="323"/>
      <c r="BQ61" s="320">
        <f>BQ58+BQ31+BQ11</f>
        <v>53564548.630000003</v>
      </c>
      <c r="BR61" s="323"/>
      <c r="BS61" s="323"/>
      <c r="BT61" s="320">
        <f>BT58+BT31+BT11</f>
        <v>42613346.530000001</v>
      </c>
      <c r="BU61" s="323"/>
      <c r="BV61" s="323"/>
      <c r="BW61" s="320">
        <f>BW58+BW31+BW11</f>
        <v>32820713.780000005</v>
      </c>
      <c r="BX61" s="323"/>
      <c r="BY61" s="323"/>
      <c r="BZ61" s="320">
        <f>BZ58+BZ31+BZ11</f>
        <v>25732762.18</v>
      </c>
      <c r="CA61" s="323"/>
      <c r="CB61" s="323"/>
      <c r="CC61" s="320">
        <f>CC58+CC31+CC11</f>
        <v>16897129.66</v>
      </c>
      <c r="CD61" s="323"/>
      <c r="CE61" s="323"/>
      <c r="CF61" s="320">
        <f>CF58+CF31+CF11</f>
        <v>9408679.9700000007</v>
      </c>
      <c r="CG61" s="323"/>
      <c r="CH61" s="323"/>
      <c r="CI61" s="320">
        <f>CI58+CI31+CI11</f>
        <v>7542158.5099999998</v>
      </c>
      <c r="CJ61" s="323"/>
      <c r="CK61" s="323"/>
      <c r="CL61" s="320">
        <f>CL58+CL31+CL11</f>
        <v>5730583.3799999999</v>
      </c>
      <c r="CM61" s="323"/>
      <c r="CN61" s="323"/>
      <c r="CO61" s="320">
        <f>CO58+CO31+CO11</f>
        <v>4466451.82</v>
      </c>
      <c r="CP61" s="323"/>
      <c r="CQ61" s="323"/>
      <c r="CR61" s="320">
        <f>CR58+CR31+CR11</f>
        <v>3243420.02</v>
      </c>
      <c r="CS61" s="323"/>
      <c r="CT61" s="323"/>
      <c r="CU61" s="320">
        <f>CU58+CU31+CU11</f>
        <v>3328400.02</v>
      </c>
      <c r="CV61" s="323"/>
      <c r="CW61" s="323"/>
      <c r="CX61" s="320">
        <f>CX58+CX31+CX11</f>
        <v>3319800.02</v>
      </c>
    </row>
    <row r="62" spans="1:102" ht="20.25" customHeight="1">
      <c r="AU62" s="318"/>
      <c r="AV62" s="318"/>
      <c r="AW62" s="324"/>
      <c r="AX62" s="324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</row>
    <row r="63" spans="1:102" ht="12.75" hidden="1">
      <c r="AU63" s="1625" t="s">
        <v>288</v>
      </c>
      <c r="AV63" s="1625"/>
      <c r="AW63" s="325"/>
      <c r="AX63" s="326">
        <f>E60/'[1]Plan dochodów'!C4</f>
        <v>0.48212521366332645</v>
      </c>
      <c r="AY63" s="327" t="e">
        <f>SUM(AW60,#REF!)/'[1]Plan dochodów'!D4</f>
        <v>#REF!</v>
      </c>
      <c r="AZ63" s="318"/>
      <c r="BA63" s="318"/>
      <c r="BB63" s="327" t="e">
        <f>SUM(AZ60,#REF!)/'[1]Plan dochodów'!E4</f>
        <v>#REF!</v>
      </c>
      <c r="BC63" s="318"/>
      <c r="BD63" s="318"/>
      <c r="BE63" s="327" t="e">
        <f>SUM(BC60,#REF!)/'[1]Plan dochodów'!F4</f>
        <v>#REF!</v>
      </c>
      <c r="BF63" s="318"/>
      <c r="BG63" s="318"/>
      <c r="BH63" s="327" t="e">
        <f>SUM(BF60,#REF!)/'[1]Plan dochodów'!G4</f>
        <v>#REF!</v>
      </c>
      <c r="BI63" s="318"/>
      <c r="BJ63" s="318"/>
      <c r="BK63" s="327" t="e">
        <f>SUM(BI60,#REF!)/'[1]Plan dochodów'!H4</f>
        <v>#REF!</v>
      </c>
      <c r="BL63" s="318"/>
      <c r="BM63" s="318"/>
      <c r="BN63" s="327" t="e">
        <f>SUM(BL60,#REF!)/'[1]Plan dochodów'!I4</f>
        <v>#REF!</v>
      </c>
      <c r="BO63" s="318"/>
      <c r="BP63" s="318"/>
      <c r="BQ63" s="327" t="e">
        <f>SUM(BO60,#REF!)/'[1]Plan dochodów'!J4</f>
        <v>#REF!</v>
      </c>
      <c r="BR63" s="318"/>
      <c r="BS63" s="318"/>
      <c r="BT63" s="327" t="e">
        <f>SUM(BR60,#REF!)/'[1]Plan dochodów'!K4</f>
        <v>#REF!</v>
      </c>
      <c r="BU63" s="318"/>
      <c r="BV63" s="318"/>
      <c r="BW63" s="327" t="e">
        <f>SUM(BU60,#REF!)/'[1]Plan dochodów'!L4</f>
        <v>#REF!</v>
      </c>
      <c r="BX63" s="318"/>
      <c r="BY63" s="318"/>
      <c r="BZ63" s="327" t="e">
        <f>SUM(BX60,#REF!)/'[1]Plan dochodów'!M4</f>
        <v>#REF!</v>
      </c>
      <c r="CA63" s="318"/>
      <c r="CB63" s="318"/>
      <c r="CC63" s="327" t="e">
        <f>SUM(CA60,#REF!)/'[1]Plan dochodów'!N4</f>
        <v>#REF!</v>
      </c>
      <c r="CD63" s="318"/>
      <c r="CE63" s="318"/>
      <c r="CF63" s="327" t="e">
        <f>SUM(CD60,#REF!)/'[1]Plan dochodów'!O4</f>
        <v>#REF!</v>
      </c>
      <c r="CG63" s="327"/>
      <c r="CH63" s="327"/>
      <c r="CI63" s="327"/>
      <c r="CJ63" s="327"/>
      <c r="CK63" s="327"/>
      <c r="CL63" s="327"/>
      <c r="CM63" s="327"/>
      <c r="CN63" s="327"/>
      <c r="CO63" s="327"/>
      <c r="CP63" s="327"/>
      <c r="CQ63" s="327"/>
      <c r="CR63" s="327"/>
      <c r="CS63" s="327"/>
      <c r="CT63" s="327"/>
      <c r="CU63" s="327"/>
      <c r="CV63" s="318"/>
      <c r="CW63" s="318"/>
      <c r="CX63" s="327" t="e">
        <f>SUM(CV60,#REF!)/'[1]Plan dochodów'!P4</f>
        <v>#REF!</v>
      </c>
    </row>
    <row r="64" spans="1:102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hidden="1"/>
    <row r="89" ht="12.75" hidden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 customHeight="1"/>
  </sheetData>
  <sheetProtection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53">
    <mergeCell ref="CV57:CX57"/>
    <mergeCell ref="CJ4:CL4"/>
    <mergeCell ref="CJ57:CL57"/>
    <mergeCell ref="CM4:CO4"/>
    <mergeCell ref="CM57:CO57"/>
    <mergeCell ref="CP4:CR4"/>
    <mergeCell ref="CP57:CR57"/>
    <mergeCell ref="CS4:CU4"/>
    <mergeCell ref="CS57:CU57"/>
    <mergeCell ref="AO32:AP32"/>
    <mergeCell ref="AO34:AP34"/>
    <mergeCell ref="AO59:AP59"/>
    <mergeCell ref="AQ4:AR4"/>
    <mergeCell ref="AQ12:AR12"/>
    <mergeCell ref="AQ32:AR32"/>
    <mergeCell ref="AQ34:AR34"/>
    <mergeCell ref="AQ59:AR59"/>
    <mergeCell ref="CG4:CI4"/>
    <mergeCell ref="CG57:CI57"/>
    <mergeCell ref="BX55:BZ57"/>
    <mergeCell ref="CA56:CC57"/>
    <mergeCell ref="CD57:CF57"/>
    <mergeCell ref="BL51:BN57"/>
    <mergeCell ref="BO52:BQ57"/>
    <mergeCell ref="BR53:BT57"/>
    <mergeCell ref="BU54:BW57"/>
    <mergeCell ref="BF49:BH57"/>
    <mergeCell ref="BI50:BK57"/>
    <mergeCell ref="AI32:AJ32"/>
    <mergeCell ref="AI34:AJ34"/>
    <mergeCell ref="AI59:AJ59"/>
    <mergeCell ref="AK4:AL4"/>
    <mergeCell ref="AK12:AL12"/>
    <mergeCell ref="AK32:AL32"/>
    <mergeCell ref="AK34:AL34"/>
    <mergeCell ref="AK59:AL59"/>
    <mergeCell ref="AM4:AN4"/>
    <mergeCell ref="AM12:AN12"/>
    <mergeCell ref="AM32:AN32"/>
    <mergeCell ref="AM34:AN34"/>
    <mergeCell ref="AM59:AN59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O12:P12"/>
    <mergeCell ref="Q12:R12"/>
    <mergeCell ref="S12:T12"/>
    <mergeCell ref="BR4:BT4"/>
    <mergeCell ref="AA4:AB4"/>
    <mergeCell ref="AC4:AD4"/>
    <mergeCell ref="AE4:AF4"/>
    <mergeCell ref="AG4:AH4"/>
    <mergeCell ref="AW4:AY4"/>
    <mergeCell ref="AZ4:BB4"/>
    <mergeCell ref="AU3:AU4"/>
    <mergeCell ref="AV3:AV4"/>
    <mergeCell ref="AW3:CX3"/>
    <mergeCell ref="BU4:BW4"/>
    <mergeCell ref="BX4:BZ4"/>
    <mergeCell ref="CA4:CC4"/>
    <mergeCell ref="CD4:CF4"/>
    <mergeCell ref="CV4:CX4"/>
    <mergeCell ref="BO4:BQ4"/>
    <mergeCell ref="AI4:AJ4"/>
    <mergeCell ref="AI12:AJ12"/>
    <mergeCell ref="AO4:AP4"/>
    <mergeCell ref="AO12:AP12"/>
    <mergeCell ref="AE32:AF32"/>
    <mergeCell ref="AG32:AH32"/>
    <mergeCell ref="A33:B33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A34:B34"/>
    <mergeCell ref="C34:D34"/>
    <mergeCell ref="G34:H34"/>
    <mergeCell ref="I34:J34"/>
    <mergeCell ref="K34:L34"/>
    <mergeCell ref="M34:N34"/>
    <mergeCell ref="Y32:Z32"/>
    <mergeCell ref="AA32:AB32"/>
    <mergeCell ref="AC32:AD32"/>
    <mergeCell ref="AC34:AD34"/>
    <mergeCell ref="AE34:AF34"/>
    <mergeCell ref="AG34:AH34"/>
    <mergeCell ref="AW46:AY57"/>
    <mergeCell ref="AZ47:BB57"/>
    <mergeCell ref="BC48:BE57"/>
    <mergeCell ref="O34:P34"/>
    <mergeCell ref="Q34:R34"/>
    <mergeCell ref="U34:V34"/>
    <mergeCell ref="W34:X34"/>
    <mergeCell ref="Y34:Z34"/>
    <mergeCell ref="AA34:AB34"/>
    <mergeCell ref="AU63:AV63"/>
    <mergeCell ref="AC59:AD59"/>
    <mergeCell ref="AE59:AF59"/>
    <mergeCell ref="AG59:AH59"/>
    <mergeCell ref="A60:B60"/>
    <mergeCell ref="AU60:AV60"/>
    <mergeCell ref="A61:B61"/>
    <mergeCell ref="Q59:R59"/>
    <mergeCell ref="S59:T59"/>
    <mergeCell ref="U59:V59"/>
    <mergeCell ref="W59:X59"/>
    <mergeCell ref="Y59:Z59"/>
    <mergeCell ref="AA59:AB59"/>
    <mergeCell ref="C59:D59"/>
    <mergeCell ref="E59:F59"/>
    <mergeCell ref="G59:H59"/>
    <mergeCell ref="I59:J59"/>
    <mergeCell ref="K59:L59"/>
    <mergeCell ref="M59:N59"/>
    <mergeCell ref="O59:P59"/>
  </mergeCells>
  <conditionalFormatting sqref="B46">
    <cfRule type="containsText" dxfId="3" priority="7" operator="containsText" text="popraw">
      <formula>NOT(ISERROR(SEARCH("popraw",B46)))</formula>
    </cfRule>
  </conditionalFormatting>
  <conditionalFormatting sqref="B27:B28 B46:B56">
    <cfRule type="containsText" dxfId="2" priority="6" operator="containsText" text="popraw">
      <formula>NOT(ISERROR(SEARCH("popraw",B27)))</formula>
    </cfRule>
  </conditionalFormatting>
  <conditionalFormatting sqref="B29">
    <cfRule type="containsText" dxfId="1" priority="4" operator="containsText" text="popraw">
      <formula>NOT(ISERROR(SEARCH("popraw",B29)))</formula>
    </cfRule>
  </conditionalFormatting>
  <conditionalFormatting sqref="B30">
    <cfRule type="containsText" dxfId="0" priority="1" operator="containsText" text="popraw">
      <formula>NOT(ISERROR(SEARCH("popraw",B30)))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2" min="46" max="86" man="1"/>
  </rowBreaks>
  <colBreaks count="8" manualBreakCount="8">
    <brk id="13" max="1048575" man="1"/>
    <brk id="27" max="1048575" man="1"/>
    <brk id="51" max="1048575" man="1"/>
    <brk id="57" max="1048575" man="1"/>
    <brk id="63" max="1048575" man="1"/>
    <brk id="69" max="1048575" man="1"/>
    <brk id="75" max="1048575" man="1"/>
    <brk id="81" max="1048575" man="1"/>
  </colBreaks>
  <ignoredErrors>
    <ignoredError sqref="BO58 C33 G33 I33 K33 M33 O33 Q33 U33 W33 Y33 AA33 AC33 AE33 AG33" formula="1"/>
    <ignoredError sqref="BB63 BE63 BH63 BK63 BN63 BQ63 BT63 BW63 BZ63 CC63 CF63 CX6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CX99"/>
  <sheetViews>
    <sheetView view="pageBreakPreview" zoomScale="90" zoomScaleNormal="40" zoomScaleSheetLayoutView="90" workbookViewId="0">
      <pane xSplit="2" ySplit="4" topLeftCell="AB47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AK63" sqref="AK63"/>
    </sheetView>
  </sheetViews>
  <sheetFormatPr defaultColWidth="0" defaultRowHeight="12.75" customHeight="1" zeroHeight="1"/>
  <cols>
    <col min="1" max="1" width="22.7109375" customWidth="1"/>
    <col min="2" max="2" width="14.7109375" customWidth="1"/>
    <col min="3" max="4" width="14.7109375" hidden="1" customWidth="1"/>
    <col min="5" max="6" width="14.7109375" customWidth="1"/>
    <col min="7" max="10" width="14.7109375" hidden="1" customWidth="1"/>
    <col min="11" max="44" width="14.7109375" customWidth="1"/>
    <col min="45" max="46" width="9.140625" customWidth="1"/>
    <col min="47" max="47" width="24.7109375" customWidth="1"/>
    <col min="48" max="101" width="14.7109375" customWidth="1"/>
    <col min="102" max="102" width="16.140625" customWidth="1"/>
  </cols>
  <sheetData>
    <row r="1" spans="1:102" ht="21" customHeight="1">
      <c r="A1" s="192"/>
      <c r="B1" s="328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</row>
    <row r="2" spans="1:102" ht="18" customHeight="1" thickBot="1">
      <c r="A2" s="1737" t="s">
        <v>289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1737"/>
      <c r="T2" s="1737"/>
      <c r="U2" s="1737"/>
      <c r="V2" s="1737"/>
      <c r="W2" s="1737"/>
      <c r="X2" s="1737"/>
      <c r="Y2" s="1737"/>
      <c r="Z2" s="1737"/>
      <c r="AA2" s="1737"/>
      <c r="AB2" s="1737"/>
      <c r="AC2" s="1737"/>
      <c r="AD2" s="1737"/>
      <c r="AE2" s="1737"/>
      <c r="AF2" s="1737"/>
      <c r="AG2" s="1737"/>
      <c r="AH2" s="1737"/>
      <c r="AI2" s="764"/>
      <c r="AJ2" s="764"/>
      <c r="AK2" s="764"/>
      <c r="AL2" s="764"/>
      <c r="AM2" s="764"/>
      <c r="AN2" s="764"/>
      <c r="AO2" s="764"/>
      <c r="AP2" s="764"/>
      <c r="AQ2" s="764"/>
      <c r="AR2" s="764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</row>
    <row r="3" spans="1:102" ht="13.5" customHeight="1" thickTop="1" thickBot="1">
      <c r="A3" s="1738"/>
      <c r="B3" s="1740" t="s">
        <v>251</v>
      </c>
      <c r="C3" s="1742" t="s">
        <v>252</v>
      </c>
      <c r="D3" s="1743"/>
      <c r="E3" s="1744" t="s">
        <v>253</v>
      </c>
      <c r="F3" s="1745"/>
      <c r="G3" s="1748" t="s">
        <v>254</v>
      </c>
      <c r="H3" s="1749"/>
      <c r="I3" s="1749"/>
      <c r="J3" s="1749"/>
      <c r="K3" s="1749"/>
      <c r="L3" s="1749"/>
      <c r="M3" s="1749"/>
      <c r="N3" s="1749"/>
      <c r="O3" s="1749"/>
      <c r="P3" s="1749"/>
      <c r="Q3" s="1749"/>
      <c r="R3" s="1749"/>
      <c r="S3" s="1749"/>
      <c r="T3" s="1749"/>
      <c r="U3" s="1749"/>
      <c r="V3" s="1749"/>
      <c r="W3" s="1749"/>
      <c r="X3" s="1749"/>
      <c r="Y3" s="1749"/>
      <c r="Z3" s="1749"/>
      <c r="AA3" s="1749"/>
      <c r="AB3" s="1749"/>
      <c r="AC3" s="1749"/>
      <c r="AD3" s="1749"/>
      <c r="AE3" s="1749"/>
      <c r="AF3" s="1749"/>
      <c r="AG3" s="1749"/>
      <c r="AH3" s="1750"/>
      <c r="AI3" s="779"/>
      <c r="AJ3" s="779"/>
      <c r="AK3" s="779"/>
      <c r="AL3" s="779"/>
      <c r="AM3" s="779"/>
      <c r="AN3" s="779"/>
      <c r="AO3" s="779"/>
      <c r="AP3" s="779"/>
      <c r="AQ3" s="779"/>
      <c r="AR3" s="779"/>
      <c r="AS3" s="192"/>
      <c r="AT3" s="192"/>
      <c r="AU3" s="1760"/>
      <c r="AV3" s="1762" t="s">
        <v>251</v>
      </c>
      <c r="AW3" s="1764" t="s">
        <v>255</v>
      </c>
      <c r="AX3" s="1765"/>
      <c r="AY3" s="1765"/>
      <c r="AZ3" s="1765"/>
      <c r="BA3" s="1765"/>
      <c r="BB3" s="1765"/>
      <c r="BC3" s="1765"/>
      <c r="BD3" s="1765"/>
      <c r="BE3" s="1765"/>
      <c r="BF3" s="1765"/>
      <c r="BG3" s="1765"/>
      <c r="BH3" s="1765"/>
      <c r="BI3" s="1765"/>
      <c r="BJ3" s="1765"/>
      <c r="BK3" s="1765"/>
      <c r="BL3" s="1765"/>
      <c r="BM3" s="1765"/>
      <c r="BN3" s="1765"/>
      <c r="BO3" s="1765"/>
      <c r="BP3" s="1765"/>
      <c r="BQ3" s="1765"/>
      <c r="BR3" s="1765"/>
      <c r="BS3" s="1765"/>
      <c r="BT3" s="1765"/>
      <c r="BU3" s="1765"/>
      <c r="BV3" s="1765"/>
      <c r="BW3" s="1765"/>
      <c r="BX3" s="1765"/>
      <c r="BY3" s="1765"/>
      <c r="BZ3" s="1765"/>
      <c r="CA3" s="1765"/>
      <c r="CB3" s="1765"/>
      <c r="CC3" s="1765"/>
      <c r="CD3" s="1765"/>
      <c r="CE3" s="1765"/>
      <c r="CF3" s="1765"/>
      <c r="CG3" s="1765"/>
      <c r="CH3" s="1765"/>
      <c r="CI3" s="1766"/>
      <c r="CJ3" s="780"/>
      <c r="CK3" s="780"/>
      <c r="CL3" s="780"/>
      <c r="CM3" s="780"/>
      <c r="CN3" s="780"/>
      <c r="CO3" s="780"/>
      <c r="CP3" s="780"/>
      <c r="CQ3" s="780"/>
      <c r="CR3" s="780"/>
      <c r="CS3" s="780"/>
      <c r="CT3" s="780"/>
      <c r="CU3" s="780"/>
      <c r="CV3" s="1758"/>
      <c r="CW3" s="1759"/>
      <c r="CX3" s="1759"/>
    </row>
    <row r="4" spans="1:102" ht="27" customHeight="1" thickBot="1">
      <c r="A4" s="1739"/>
      <c r="B4" s="1741"/>
      <c r="C4" s="1733">
        <v>2011</v>
      </c>
      <c r="D4" s="1734"/>
      <c r="E4" s="1746"/>
      <c r="F4" s="1747"/>
      <c r="G4" s="1735">
        <v>2012</v>
      </c>
      <c r="H4" s="1736"/>
      <c r="I4" s="1735">
        <f>G4+1</f>
        <v>2013</v>
      </c>
      <c r="J4" s="1736"/>
      <c r="K4" s="1751">
        <f>I4+1</f>
        <v>2014</v>
      </c>
      <c r="L4" s="1752"/>
      <c r="M4" s="1735">
        <f>K4+1</f>
        <v>2015</v>
      </c>
      <c r="N4" s="1736"/>
      <c r="O4" s="1751">
        <f>M4+1</f>
        <v>2016</v>
      </c>
      <c r="P4" s="1752"/>
      <c r="Q4" s="1735">
        <f>O4+1</f>
        <v>2017</v>
      </c>
      <c r="R4" s="1736"/>
      <c r="S4" s="1751">
        <f>Q4+1</f>
        <v>2018</v>
      </c>
      <c r="T4" s="1752"/>
      <c r="U4" s="1735">
        <f>S4+1</f>
        <v>2019</v>
      </c>
      <c r="V4" s="1736"/>
      <c r="W4" s="1753">
        <f>U4+1</f>
        <v>2020</v>
      </c>
      <c r="X4" s="1754"/>
      <c r="Y4" s="1755">
        <f>W4+1</f>
        <v>2021</v>
      </c>
      <c r="Z4" s="1756"/>
      <c r="AA4" s="1751">
        <f>Y4+1</f>
        <v>2022</v>
      </c>
      <c r="AB4" s="1752"/>
      <c r="AC4" s="1735">
        <f>AA4+1</f>
        <v>2023</v>
      </c>
      <c r="AD4" s="1736"/>
      <c r="AE4" s="1751">
        <f>AC4+1</f>
        <v>2024</v>
      </c>
      <c r="AF4" s="1736"/>
      <c r="AG4" s="1751">
        <f>AE4+1</f>
        <v>2025</v>
      </c>
      <c r="AH4" s="1757"/>
      <c r="AI4" s="1751">
        <f>AG4+1</f>
        <v>2026</v>
      </c>
      <c r="AJ4" s="1757"/>
      <c r="AK4" s="1751">
        <f>AI4+1</f>
        <v>2027</v>
      </c>
      <c r="AL4" s="1757"/>
      <c r="AM4" s="1751">
        <f>AK4+1</f>
        <v>2028</v>
      </c>
      <c r="AN4" s="1757"/>
      <c r="AO4" s="1751">
        <f>AM4+1</f>
        <v>2029</v>
      </c>
      <c r="AP4" s="1757"/>
      <c r="AQ4" s="1751">
        <f>AO4+1</f>
        <v>2030</v>
      </c>
      <c r="AR4" s="1757"/>
      <c r="AS4" s="192"/>
      <c r="AT4" s="192"/>
      <c r="AU4" s="1761"/>
      <c r="AV4" s="1763"/>
      <c r="AW4" s="1730">
        <v>2012</v>
      </c>
      <c r="AX4" s="1731"/>
      <c r="AY4" s="1732"/>
      <c r="AZ4" s="1730">
        <f>AW4+1</f>
        <v>2013</v>
      </c>
      <c r="BA4" s="1731"/>
      <c r="BB4" s="1732"/>
      <c r="BC4" s="1730">
        <f>AZ4+1</f>
        <v>2014</v>
      </c>
      <c r="BD4" s="1731"/>
      <c r="BE4" s="1732"/>
      <c r="BF4" s="1730">
        <f>BC4+1</f>
        <v>2015</v>
      </c>
      <c r="BG4" s="1731"/>
      <c r="BH4" s="1732"/>
      <c r="BI4" s="1730">
        <f>BF4+1</f>
        <v>2016</v>
      </c>
      <c r="BJ4" s="1731"/>
      <c r="BK4" s="1732"/>
      <c r="BL4" s="1730">
        <f>BI4+1</f>
        <v>2017</v>
      </c>
      <c r="BM4" s="1731"/>
      <c r="BN4" s="1732"/>
      <c r="BO4" s="1730">
        <f>BL4+1</f>
        <v>2018</v>
      </c>
      <c r="BP4" s="1731"/>
      <c r="BQ4" s="1732"/>
      <c r="BR4" s="1730">
        <f>BO4+1</f>
        <v>2019</v>
      </c>
      <c r="BS4" s="1731"/>
      <c r="BT4" s="1732"/>
      <c r="BU4" s="1730">
        <f>BR4+1</f>
        <v>2020</v>
      </c>
      <c r="BV4" s="1731"/>
      <c r="BW4" s="1732"/>
      <c r="BX4" s="1730">
        <f>BU4+1</f>
        <v>2021</v>
      </c>
      <c r="BY4" s="1731"/>
      <c r="BZ4" s="1732"/>
      <c r="CA4" s="1730">
        <f>BX4+1</f>
        <v>2022</v>
      </c>
      <c r="CB4" s="1731"/>
      <c r="CC4" s="1732"/>
      <c r="CD4" s="1730">
        <f>CA4+1</f>
        <v>2023</v>
      </c>
      <c r="CE4" s="1731"/>
      <c r="CF4" s="1732"/>
      <c r="CG4" s="1730">
        <f>CD4+1</f>
        <v>2024</v>
      </c>
      <c r="CH4" s="1731"/>
      <c r="CI4" s="1732"/>
      <c r="CJ4" s="1730">
        <f>CG4+1</f>
        <v>2025</v>
      </c>
      <c r="CK4" s="1731"/>
      <c r="CL4" s="1732"/>
      <c r="CM4" s="1730">
        <f>CJ4+1</f>
        <v>2026</v>
      </c>
      <c r="CN4" s="1731"/>
      <c r="CO4" s="1732"/>
      <c r="CP4" s="1730">
        <f>CM4+1</f>
        <v>2027</v>
      </c>
      <c r="CQ4" s="1731"/>
      <c r="CR4" s="1732"/>
      <c r="CS4" s="1730">
        <f>CP4+1</f>
        <v>2028</v>
      </c>
      <c r="CT4" s="1731"/>
      <c r="CU4" s="1732"/>
      <c r="CV4" s="1730">
        <f>CS4+1</f>
        <v>2029</v>
      </c>
      <c r="CW4" s="1731"/>
      <c r="CX4" s="1732"/>
    </row>
    <row r="5" spans="1:102">
      <c r="A5" s="686" t="s">
        <v>256</v>
      </c>
      <c r="B5" s="329" t="s">
        <v>257</v>
      </c>
      <c r="C5" s="330" t="s">
        <v>258</v>
      </c>
      <c r="D5" s="331" t="s">
        <v>259</v>
      </c>
      <c r="E5" s="330" t="s">
        <v>258</v>
      </c>
      <c r="F5" s="331" t="s">
        <v>259</v>
      </c>
      <c r="G5" s="330" t="s">
        <v>258</v>
      </c>
      <c r="H5" s="331" t="s">
        <v>259</v>
      </c>
      <c r="I5" s="330" t="s">
        <v>258</v>
      </c>
      <c r="J5" s="331" t="s">
        <v>259</v>
      </c>
      <c r="K5" s="332" t="s">
        <v>258</v>
      </c>
      <c r="L5" s="333" t="s">
        <v>259</v>
      </c>
      <c r="M5" s="330" t="s">
        <v>258</v>
      </c>
      <c r="N5" s="331" t="s">
        <v>259</v>
      </c>
      <c r="O5" s="332" t="s">
        <v>258</v>
      </c>
      <c r="P5" s="333" t="s">
        <v>259</v>
      </c>
      <c r="Q5" s="330" t="s">
        <v>258</v>
      </c>
      <c r="R5" s="331" t="s">
        <v>259</v>
      </c>
      <c r="S5" s="332" t="s">
        <v>258</v>
      </c>
      <c r="T5" s="333" t="s">
        <v>259</v>
      </c>
      <c r="U5" s="330" t="s">
        <v>258</v>
      </c>
      <c r="V5" s="331" t="s">
        <v>259</v>
      </c>
      <c r="W5" s="332" t="s">
        <v>258</v>
      </c>
      <c r="X5" s="333" t="s">
        <v>259</v>
      </c>
      <c r="Y5" s="330" t="s">
        <v>258</v>
      </c>
      <c r="Z5" s="331" t="s">
        <v>259</v>
      </c>
      <c r="AA5" s="332" t="s">
        <v>258</v>
      </c>
      <c r="AB5" s="333" t="s">
        <v>259</v>
      </c>
      <c r="AC5" s="330" t="s">
        <v>258</v>
      </c>
      <c r="AD5" s="331" t="s">
        <v>259</v>
      </c>
      <c r="AE5" s="332" t="s">
        <v>258</v>
      </c>
      <c r="AF5" s="331" t="s">
        <v>259</v>
      </c>
      <c r="AG5" s="332" t="s">
        <v>258</v>
      </c>
      <c r="AH5" s="334" t="s">
        <v>259</v>
      </c>
      <c r="AI5" s="332" t="s">
        <v>258</v>
      </c>
      <c r="AJ5" s="334" t="s">
        <v>259</v>
      </c>
      <c r="AK5" s="332" t="s">
        <v>258</v>
      </c>
      <c r="AL5" s="334" t="s">
        <v>259</v>
      </c>
      <c r="AM5" s="332" t="s">
        <v>258</v>
      </c>
      <c r="AN5" s="334" t="s">
        <v>259</v>
      </c>
      <c r="AO5" s="332" t="s">
        <v>258</v>
      </c>
      <c r="AP5" s="334" t="s">
        <v>259</v>
      </c>
      <c r="AQ5" s="332" t="s">
        <v>258</v>
      </c>
      <c r="AR5" s="334" t="s">
        <v>259</v>
      </c>
      <c r="AS5" s="192"/>
      <c r="AT5" s="192"/>
      <c r="AU5" s="335" t="s">
        <v>256</v>
      </c>
      <c r="AV5" s="336" t="s">
        <v>257</v>
      </c>
      <c r="AW5" s="337" t="s">
        <v>258</v>
      </c>
      <c r="AX5" s="338" t="s">
        <v>259</v>
      </c>
      <c r="AY5" s="339" t="s">
        <v>260</v>
      </c>
      <c r="AZ5" s="337" t="s">
        <v>258</v>
      </c>
      <c r="BA5" s="338" t="s">
        <v>259</v>
      </c>
      <c r="BB5" s="339" t="s">
        <v>260</v>
      </c>
      <c r="BC5" s="337" t="s">
        <v>258</v>
      </c>
      <c r="BD5" s="338" t="s">
        <v>259</v>
      </c>
      <c r="BE5" s="339" t="s">
        <v>260</v>
      </c>
      <c r="BF5" s="337" t="s">
        <v>258</v>
      </c>
      <c r="BG5" s="338" t="s">
        <v>259</v>
      </c>
      <c r="BH5" s="339" t="s">
        <v>260</v>
      </c>
      <c r="BI5" s="337" t="s">
        <v>258</v>
      </c>
      <c r="BJ5" s="338" t="s">
        <v>259</v>
      </c>
      <c r="BK5" s="339" t="s">
        <v>260</v>
      </c>
      <c r="BL5" s="337" t="s">
        <v>258</v>
      </c>
      <c r="BM5" s="338" t="s">
        <v>259</v>
      </c>
      <c r="BN5" s="339" t="s">
        <v>260</v>
      </c>
      <c r="BO5" s="337" t="s">
        <v>258</v>
      </c>
      <c r="BP5" s="338" t="s">
        <v>259</v>
      </c>
      <c r="BQ5" s="339" t="s">
        <v>260</v>
      </c>
      <c r="BR5" s="337" t="s">
        <v>258</v>
      </c>
      <c r="BS5" s="338" t="s">
        <v>259</v>
      </c>
      <c r="BT5" s="339" t="s">
        <v>260</v>
      </c>
      <c r="BU5" s="337" t="s">
        <v>258</v>
      </c>
      <c r="BV5" s="338" t="s">
        <v>259</v>
      </c>
      <c r="BW5" s="339" t="s">
        <v>260</v>
      </c>
      <c r="BX5" s="337" t="s">
        <v>258</v>
      </c>
      <c r="BY5" s="338" t="s">
        <v>259</v>
      </c>
      <c r="BZ5" s="339" t="s">
        <v>260</v>
      </c>
      <c r="CA5" s="337" t="s">
        <v>258</v>
      </c>
      <c r="CB5" s="338" t="s">
        <v>259</v>
      </c>
      <c r="CC5" s="339" t="s">
        <v>260</v>
      </c>
      <c r="CD5" s="337" t="s">
        <v>258</v>
      </c>
      <c r="CE5" s="338" t="s">
        <v>259</v>
      </c>
      <c r="CF5" s="339" t="s">
        <v>260</v>
      </c>
      <c r="CG5" s="337" t="s">
        <v>258</v>
      </c>
      <c r="CH5" s="338" t="s">
        <v>259</v>
      </c>
      <c r="CI5" s="339" t="s">
        <v>260</v>
      </c>
      <c r="CJ5" s="337" t="s">
        <v>258</v>
      </c>
      <c r="CK5" s="338" t="s">
        <v>259</v>
      </c>
      <c r="CL5" s="339" t="s">
        <v>260</v>
      </c>
      <c r="CM5" s="337" t="s">
        <v>258</v>
      </c>
      <c r="CN5" s="338" t="s">
        <v>259</v>
      </c>
      <c r="CO5" s="339" t="s">
        <v>260</v>
      </c>
      <c r="CP5" s="337" t="s">
        <v>258</v>
      </c>
      <c r="CQ5" s="338" t="s">
        <v>259</v>
      </c>
      <c r="CR5" s="339" t="s">
        <v>260</v>
      </c>
      <c r="CS5" s="337" t="s">
        <v>258</v>
      </c>
      <c r="CT5" s="338" t="s">
        <v>259</v>
      </c>
      <c r="CU5" s="339" t="s">
        <v>260</v>
      </c>
      <c r="CV5" s="337" t="s">
        <v>258</v>
      </c>
      <c r="CW5" s="338" t="s">
        <v>259</v>
      </c>
      <c r="CX5" s="339" t="s">
        <v>260</v>
      </c>
    </row>
    <row r="6" spans="1:102">
      <c r="A6" s="340">
        <f>'HSZ do groszy'!A6</f>
        <v>0</v>
      </c>
      <c r="B6" s="341">
        <f>ROUNDUP('HSZ do groszy'!B6,0)</f>
        <v>0</v>
      </c>
      <c r="C6" s="342">
        <f>ROUNDUP('HSZ do groszy'!C6,0)</f>
        <v>0</v>
      </c>
      <c r="D6" s="343">
        <f>ROUNDUP('HSZ do groszy'!D6,0)</f>
        <v>0</v>
      </c>
      <c r="E6" s="344">
        <f t="shared" ref="E6:E9" si="0">G6+I6+K6+M6+O6+Q6+S6+U6+W6+Y6+AA6+AC6+AE6+AG6</f>
        <v>0</v>
      </c>
      <c r="F6" s="345">
        <f t="shared" ref="F6:F9" si="1">H6+J6+L6+N6+P6+R6+T6+V6+X6+Z6+AB6+AD6+AF6+AH6</f>
        <v>0</v>
      </c>
      <c r="G6" s="342">
        <f>ROUNDUP('HSZ do groszy'!G6,0)</f>
        <v>0</v>
      </c>
      <c r="H6" s="343">
        <f>ROUNDUP('HSZ do groszy'!H6,0)</f>
        <v>0</v>
      </c>
      <c r="I6" s="342">
        <f>ROUNDUP('HSZ do groszy'!I6,0)</f>
        <v>0</v>
      </c>
      <c r="J6" s="343">
        <f>ROUNDUP('HSZ do groszy'!J6,0)</f>
        <v>0</v>
      </c>
      <c r="K6" s="346">
        <f>ROUNDUP('HSZ do groszy'!K6,0)</f>
        <v>0</v>
      </c>
      <c r="L6" s="341">
        <f>ROUNDUP('HSZ do groszy'!L6,0)</f>
        <v>0</v>
      </c>
      <c r="M6" s="342">
        <f>ROUNDUP('HSZ do groszy'!M6,0)</f>
        <v>0</v>
      </c>
      <c r="N6" s="343">
        <f>ROUNDUP('HSZ do groszy'!N6,0)</f>
        <v>0</v>
      </c>
      <c r="O6" s="346">
        <f>ROUNDUP('HSZ do groszy'!O6,0)</f>
        <v>0</v>
      </c>
      <c r="P6" s="341">
        <f>ROUNDUP('HSZ do groszy'!P6,0)</f>
        <v>0</v>
      </c>
      <c r="Q6" s="342">
        <f>ROUNDUP('HSZ do groszy'!Q6,0)</f>
        <v>0</v>
      </c>
      <c r="R6" s="343">
        <f>ROUNDUP('HSZ do groszy'!R6,0)</f>
        <v>0</v>
      </c>
      <c r="S6" s="346">
        <f>ROUNDUP('HSZ do groszy'!S6,0)</f>
        <v>0</v>
      </c>
      <c r="T6" s="341">
        <f>ROUNDUP('HSZ do groszy'!T6,0)</f>
        <v>0</v>
      </c>
      <c r="U6" s="342">
        <f>ROUNDUP('HSZ do groszy'!U6,0)</f>
        <v>0</v>
      </c>
      <c r="V6" s="343">
        <f>ROUNDUP('HSZ do groszy'!V6,0)</f>
        <v>0</v>
      </c>
      <c r="W6" s="346">
        <f>ROUNDUP('HSZ do groszy'!W6,0)</f>
        <v>0</v>
      </c>
      <c r="X6" s="341">
        <f>ROUNDUP('HSZ do groszy'!X6,0)</f>
        <v>0</v>
      </c>
      <c r="Y6" s="342">
        <f>ROUNDUP('HSZ do groszy'!Y6,0)</f>
        <v>0</v>
      </c>
      <c r="Z6" s="343">
        <f>ROUNDUP('HSZ do groszy'!Z6,0)</f>
        <v>0</v>
      </c>
      <c r="AA6" s="346">
        <f>ROUNDUP('HSZ do groszy'!AA6,0)</f>
        <v>0</v>
      </c>
      <c r="AB6" s="341">
        <f>ROUNDUP('HSZ do groszy'!AB6,0)</f>
        <v>0</v>
      </c>
      <c r="AC6" s="342">
        <f>ROUNDUP('HSZ do groszy'!AC6,0)</f>
        <v>0</v>
      </c>
      <c r="AD6" s="343">
        <f>ROUNDUP('HSZ do groszy'!AD6,0)</f>
        <v>0</v>
      </c>
      <c r="AE6" s="346">
        <f>ROUNDUP('HSZ do groszy'!AE6,0)</f>
        <v>0</v>
      </c>
      <c r="AF6" s="343">
        <f>ROUNDUP('HSZ do groszy'!AF6,0)</f>
        <v>0</v>
      </c>
      <c r="AG6" s="346">
        <f>ROUNDUP('HSZ do groszy'!AG6,0)</f>
        <v>0</v>
      </c>
      <c r="AH6" s="347">
        <f>ROUNDUP('HSZ do groszy'!AH6,0)</f>
        <v>0</v>
      </c>
      <c r="AI6" s="346">
        <f>ROUNDUP('HSZ do groszy'!AI6,0)</f>
        <v>0</v>
      </c>
      <c r="AJ6" s="347">
        <f>ROUNDUP('HSZ do groszy'!AJ6,0)</f>
        <v>0</v>
      </c>
      <c r="AK6" s="346">
        <f>ROUNDUP('HSZ do groszy'!AK6,0)</f>
        <v>0</v>
      </c>
      <c r="AL6" s="347">
        <f>ROUNDUP('HSZ do groszy'!AL6,0)</f>
        <v>0</v>
      </c>
      <c r="AM6" s="346">
        <f>ROUNDUP('HSZ do groszy'!AM6,0)</f>
        <v>0</v>
      </c>
      <c r="AN6" s="347">
        <f>ROUNDUP('HSZ do groszy'!AN6,0)</f>
        <v>0</v>
      </c>
      <c r="AO6" s="346">
        <f>ROUNDUP('HSZ do groszy'!AO6,0)</f>
        <v>0</v>
      </c>
      <c r="AP6" s="347">
        <f>ROUNDUP('HSZ do groszy'!AP6,0)</f>
        <v>0</v>
      </c>
      <c r="AQ6" s="346">
        <f>ROUNDUP('HSZ do groszy'!AQ6,0)</f>
        <v>0</v>
      </c>
      <c r="AR6" s="347">
        <f>ROUNDUP('HSZ do groszy'!AR6,0)</f>
        <v>0</v>
      </c>
      <c r="AS6" s="192"/>
      <c r="AT6" s="192"/>
      <c r="AU6" s="348">
        <f>A6</f>
        <v>0</v>
      </c>
      <c r="AV6" s="349">
        <f>B6</f>
        <v>0</v>
      </c>
      <c r="AW6" s="342">
        <f>SUM($I6,$K6,$M6,$O6,$Q6,$S6,$U6,$W6,$Y6,$AA6,$AC6,$AE6,$AG6)</f>
        <v>0</v>
      </c>
      <c r="AX6" s="350">
        <f>SUM($J6,$L6,$N6,$P6,$R6,$T6,$V6,$X6,$Z6,$AB6,$AD6,$AF6,$AH6)</f>
        <v>0</v>
      </c>
      <c r="AY6" s="351">
        <f>SUM(AW6,AX6)</f>
        <v>0</v>
      </c>
      <c r="AZ6" s="342">
        <f>SUM($K6,$M6,$O6,$Q6,$S6,$U6,$W6,$Y6,$AA6,$AC6,$AE6,$AG6)</f>
        <v>0</v>
      </c>
      <c r="BA6" s="350">
        <f>SUM($L6,$N6,$P6,$R6,$T6,$V6,$X6,$Z6,$AB6,$AD6,$AF6,$AH6)</f>
        <v>0</v>
      </c>
      <c r="BB6" s="351">
        <f>SUM(AZ6,BA6)</f>
        <v>0</v>
      </c>
      <c r="BC6" s="342">
        <f>SUM($M6,$O6,$Q6,$S6,$U6,$W6,$Y6,$AA6,$AC6,$AE6,$AG6)</f>
        <v>0</v>
      </c>
      <c r="BD6" s="350">
        <f>SUM($N6,$P6,$R6,$T6,$V6,$X6,$Z6,$AB6,$AD6,$AF6,$AH6)</f>
        <v>0</v>
      </c>
      <c r="BE6" s="351">
        <f>SUM(BC6,BD6)</f>
        <v>0</v>
      </c>
      <c r="BF6" s="342">
        <f>SUM($O6,$Q6,$S6,$U6,$W6,$Y6,$AA6,$AC6,$AE6,$AG6)</f>
        <v>0</v>
      </c>
      <c r="BG6" s="350">
        <f>SUM($P6,$R6,$T6,$V6,$X6,$Z6,$AB6,$AD6,$AF6,$AH6)</f>
        <v>0</v>
      </c>
      <c r="BH6" s="351">
        <f>SUM(BF6,BG6)</f>
        <v>0</v>
      </c>
      <c r="BI6" s="342">
        <f>SUM($Q6,$S6,$U6,$W6,$Y6,$AA6,$AC6,$AE6,$AG6)</f>
        <v>0</v>
      </c>
      <c r="BJ6" s="350">
        <f>SUM($R6,$T6,$V6,$X6,$Z6,$AB6,$AD6,$AF6,$AH6)</f>
        <v>0</v>
      </c>
      <c r="BK6" s="351">
        <f>SUM(BI6,BJ6)</f>
        <v>0</v>
      </c>
      <c r="BL6" s="342">
        <f>SUM($S6,$U6,$W6,$Y6,$AA6,$AC6,$AE6,$AG6)</f>
        <v>0</v>
      </c>
      <c r="BM6" s="350">
        <f>SUM($T6,$V6,$X6,$Z6,$AB6,$AD6,$AF6,$AH6)</f>
        <v>0</v>
      </c>
      <c r="BN6" s="351">
        <f>SUM(BL6,BM6)</f>
        <v>0</v>
      </c>
      <c r="BO6" s="342">
        <f>SUM($U6,$W6,$Y6,$AA6,$AC6,$AE6,$AG6)</f>
        <v>0</v>
      </c>
      <c r="BP6" s="350">
        <f>SUM($V6,$X6,$Z6,$AB6,$AD6,$AF6,$AH6)</f>
        <v>0</v>
      </c>
      <c r="BQ6" s="351">
        <f>SUM(BO6,BP6)</f>
        <v>0</v>
      </c>
      <c r="BR6" s="342">
        <f>SUM($W6,$Y6,$AA6,$AC6,$AE6,$AG6)</f>
        <v>0</v>
      </c>
      <c r="BS6" s="350">
        <f>SUM($X6,$Z6,$AB6,$AD6,$AF6,$AH6)</f>
        <v>0</v>
      </c>
      <c r="BT6" s="351">
        <f>SUM(BR6,BS6)</f>
        <v>0</v>
      </c>
      <c r="BU6" s="342">
        <f>SUM($Y6,$AA6,$AC6,$AE6,$AG6)</f>
        <v>0</v>
      </c>
      <c r="BV6" s="350">
        <f>SUM($Z6,$AB6,$AD6,$AF6,$AH6)</f>
        <v>0</v>
      </c>
      <c r="BW6" s="351">
        <f>SUM(BU6,BV6)</f>
        <v>0</v>
      </c>
      <c r="BX6" s="342">
        <f>SUM($AA6,$AC6,$AE6,$AG6)</f>
        <v>0</v>
      </c>
      <c r="BY6" s="350">
        <f>SUM($AB6,$AD6,$AF6,$AH6)</f>
        <v>0</v>
      </c>
      <c r="BZ6" s="351">
        <f>SUM(BX6,BY6)</f>
        <v>0</v>
      </c>
      <c r="CA6" s="342">
        <f>SUM($AC6,$AE6,$AG6)</f>
        <v>0</v>
      </c>
      <c r="CB6" s="350">
        <f>SUM($AD6,$AF6,$AH6)</f>
        <v>0</v>
      </c>
      <c r="CC6" s="351">
        <f>SUM(CA6,CB6)</f>
        <v>0</v>
      </c>
      <c r="CD6" s="342">
        <f>SUM($AE6,$AG6)</f>
        <v>0</v>
      </c>
      <c r="CE6" s="350">
        <f>SUM($AF6,$AH6)</f>
        <v>0</v>
      </c>
      <c r="CF6" s="351">
        <f>SUM(CD6,CE6)</f>
        <v>0</v>
      </c>
      <c r="CG6" s="342">
        <f>SUM($AG6)</f>
        <v>0</v>
      </c>
      <c r="CH6" s="350">
        <f>SUM($AH6)</f>
        <v>0</v>
      </c>
      <c r="CI6" s="351">
        <f>SUM(CG6,CH6)</f>
        <v>0</v>
      </c>
      <c r="CJ6" s="342">
        <f>SUM($AG6)</f>
        <v>0</v>
      </c>
      <c r="CK6" s="350">
        <f>SUM($AH6)</f>
        <v>0</v>
      </c>
      <c r="CL6" s="351">
        <f>SUM(CJ6,CK6)</f>
        <v>0</v>
      </c>
      <c r="CM6" s="342">
        <f>SUM($AG6)</f>
        <v>0</v>
      </c>
      <c r="CN6" s="350">
        <f>SUM($AH6)</f>
        <v>0</v>
      </c>
      <c r="CO6" s="351">
        <f>SUM(CM6,CN6)</f>
        <v>0</v>
      </c>
      <c r="CP6" s="342">
        <f>SUM($AG6)</f>
        <v>0</v>
      </c>
      <c r="CQ6" s="350">
        <f>SUM($AH6)</f>
        <v>0</v>
      </c>
      <c r="CR6" s="351">
        <f>SUM(CP6,CQ6)</f>
        <v>0</v>
      </c>
      <c r="CS6" s="342">
        <f>SUM($AG6)</f>
        <v>0</v>
      </c>
      <c r="CT6" s="350">
        <f>SUM($AH6)</f>
        <v>0</v>
      </c>
      <c r="CU6" s="351">
        <f>SUM(CS6,CT6)</f>
        <v>0</v>
      </c>
      <c r="CV6" s="342">
        <f>SUM($AG6)</f>
        <v>0</v>
      </c>
      <c r="CW6" s="350">
        <f>SUM($AH6)</f>
        <v>0</v>
      </c>
      <c r="CX6" s="351">
        <f>SUM(CV6,CW6)</f>
        <v>0</v>
      </c>
    </row>
    <row r="7" spans="1:102">
      <c r="A7" s="340">
        <f>'HSZ do groszy'!A7</f>
        <v>0</v>
      </c>
      <c r="B7" s="341">
        <f>ROUNDUP('HSZ do groszy'!B7,0)</f>
        <v>0</v>
      </c>
      <c r="C7" s="342">
        <f>ROUNDUP('HSZ do groszy'!C7,0)</f>
        <v>0</v>
      </c>
      <c r="D7" s="343">
        <f>ROUNDUP('HSZ do groszy'!D7,0)</f>
        <v>0</v>
      </c>
      <c r="E7" s="344">
        <f t="shared" si="0"/>
        <v>0</v>
      </c>
      <c r="F7" s="345">
        <f t="shared" si="1"/>
        <v>0</v>
      </c>
      <c r="G7" s="342">
        <f>ROUNDUP('HSZ do groszy'!G7,0)</f>
        <v>0</v>
      </c>
      <c r="H7" s="343">
        <f>ROUNDUP('HSZ do groszy'!H7,0)</f>
        <v>0</v>
      </c>
      <c r="I7" s="342">
        <f>ROUNDUP('HSZ do groszy'!I7,0)</f>
        <v>0</v>
      </c>
      <c r="J7" s="343">
        <f>ROUNDUP('HSZ do groszy'!J7,0)</f>
        <v>0</v>
      </c>
      <c r="K7" s="346">
        <f>ROUNDUP('HSZ do groszy'!K7,0)</f>
        <v>0</v>
      </c>
      <c r="L7" s="341">
        <f>ROUNDUP('HSZ do groszy'!L7,0)</f>
        <v>0</v>
      </c>
      <c r="M7" s="342">
        <f>ROUNDUP('HSZ do groszy'!M7,0)</f>
        <v>0</v>
      </c>
      <c r="N7" s="343">
        <f>ROUNDUP('HSZ do groszy'!N7,0)</f>
        <v>0</v>
      </c>
      <c r="O7" s="346">
        <f>ROUNDUP('HSZ do groszy'!O7,0)</f>
        <v>0</v>
      </c>
      <c r="P7" s="341">
        <f>ROUNDUP('HSZ do groszy'!P7,0)</f>
        <v>0</v>
      </c>
      <c r="Q7" s="342">
        <f>ROUNDUP('HSZ do groszy'!Q7,0)</f>
        <v>0</v>
      </c>
      <c r="R7" s="343">
        <f>ROUNDUP('HSZ do groszy'!R7,0)</f>
        <v>0</v>
      </c>
      <c r="S7" s="346">
        <f>ROUNDUP('HSZ do groszy'!S7,0)</f>
        <v>0</v>
      </c>
      <c r="T7" s="341">
        <f>ROUNDUP('HSZ do groszy'!T7,0)</f>
        <v>0</v>
      </c>
      <c r="U7" s="342">
        <f>ROUNDUP('HSZ do groszy'!U7,0)</f>
        <v>0</v>
      </c>
      <c r="V7" s="343">
        <f>ROUNDUP('HSZ do groszy'!V7,0)</f>
        <v>0</v>
      </c>
      <c r="W7" s="346">
        <f>ROUNDUP('HSZ do groszy'!W7,0)</f>
        <v>0</v>
      </c>
      <c r="X7" s="341">
        <f>ROUNDUP('HSZ do groszy'!X7,0)</f>
        <v>0</v>
      </c>
      <c r="Y7" s="342">
        <f>ROUNDUP('HSZ do groszy'!Y7,0)</f>
        <v>0</v>
      </c>
      <c r="Z7" s="343">
        <f>ROUNDUP('HSZ do groszy'!Z7,0)</f>
        <v>0</v>
      </c>
      <c r="AA7" s="346">
        <f>ROUNDUP('HSZ do groszy'!AA7,0)</f>
        <v>0</v>
      </c>
      <c r="AB7" s="341">
        <f>ROUNDUP('HSZ do groszy'!AB7,0)</f>
        <v>0</v>
      </c>
      <c r="AC7" s="342">
        <f>ROUNDUP('HSZ do groszy'!AC7,0)</f>
        <v>0</v>
      </c>
      <c r="AD7" s="343">
        <f>ROUNDUP('HSZ do groszy'!AD7,0)</f>
        <v>0</v>
      </c>
      <c r="AE7" s="346">
        <f>ROUNDUP('HSZ do groszy'!AE7,0)</f>
        <v>0</v>
      </c>
      <c r="AF7" s="343">
        <f>ROUNDUP('HSZ do groszy'!AF7,0)</f>
        <v>0</v>
      </c>
      <c r="AG7" s="346">
        <f>ROUNDUP('HSZ do groszy'!AG7,0)</f>
        <v>0</v>
      </c>
      <c r="AH7" s="347">
        <f>ROUNDUP('HSZ do groszy'!AH7,0)</f>
        <v>0</v>
      </c>
      <c r="AI7" s="346">
        <f>ROUNDUP('HSZ do groszy'!AI7,0)</f>
        <v>0</v>
      </c>
      <c r="AJ7" s="347">
        <f>ROUNDUP('HSZ do groszy'!AJ7,0)</f>
        <v>0</v>
      </c>
      <c r="AK7" s="346">
        <f>ROUNDUP('HSZ do groszy'!AK7,0)</f>
        <v>0</v>
      </c>
      <c r="AL7" s="347">
        <f>ROUNDUP('HSZ do groszy'!AL7,0)</f>
        <v>0</v>
      </c>
      <c r="AM7" s="346">
        <f>ROUNDUP('HSZ do groszy'!AM7,0)</f>
        <v>0</v>
      </c>
      <c r="AN7" s="347">
        <f>ROUNDUP('HSZ do groszy'!AN7,0)</f>
        <v>0</v>
      </c>
      <c r="AO7" s="346">
        <f>ROUNDUP('HSZ do groszy'!AO7,0)</f>
        <v>0</v>
      </c>
      <c r="AP7" s="347">
        <f>ROUNDUP('HSZ do groszy'!AP7,0)</f>
        <v>0</v>
      </c>
      <c r="AQ7" s="346">
        <f>ROUNDUP('HSZ do groszy'!AQ7,0)</f>
        <v>0</v>
      </c>
      <c r="AR7" s="347">
        <f>ROUNDUP('HSZ do groszy'!AR7,0)</f>
        <v>0</v>
      </c>
      <c r="AS7" s="192"/>
      <c r="AT7" s="192"/>
      <c r="AU7" s="348">
        <f t="shared" ref="AU7:AV10" si="2">A7</f>
        <v>0</v>
      </c>
      <c r="AV7" s="349">
        <f t="shared" si="2"/>
        <v>0</v>
      </c>
      <c r="AW7" s="342">
        <f>SUM($I7,$K7,$M7,$O7,$Q7,$S7,$U7,$W7,$Y7,$AA7,$AC7,$AE7,$AG7)</f>
        <v>0</v>
      </c>
      <c r="AX7" s="350">
        <f>SUM($J7,$L7,$N7,$P7,$R7,$T7,$V7,$X7,$Z7,$AB7,$AD7,$AF7,$AH7)</f>
        <v>0</v>
      </c>
      <c r="AY7" s="351">
        <f>SUM(AW7,AX7)</f>
        <v>0</v>
      </c>
      <c r="AZ7" s="342">
        <f>SUM($K7,$M7,$O7,$Q7,$S7,$U7,$W7,$Y7,$AA7,$AC7,$AE7,$AG7)</f>
        <v>0</v>
      </c>
      <c r="BA7" s="350">
        <f>SUM($L7,$N7,$P7,$R7,$T7,$V7,$X7,$Z7,$AB7,$AD7,$AF7,$AH7)</f>
        <v>0</v>
      </c>
      <c r="BB7" s="351">
        <f>SUM(AZ7,BA7)</f>
        <v>0</v>
      </c>
      <c r="BC7" s="342">
        <f>SUM($M7,$O7,$Q7,$S7,$U7,$W7,$Y7,$AA7,$AC7,$AE7,$AG7)</f>
        <v>0</v>
      </c>
      <c r="BD7" s="350">
        <f>SUM($N7,$P7,$R7,$T7,$V7,$X7,$Z7,$AB7,$AD7,$AF7,$AH7)</f>
        <v>0</v>
      </c>
      <c r="BE7" s="351">
        <f>SUM(BC7,BD7)</f>
        <v>0</v>
      </c>
      <c r="BF7" s="342">
        <f>SUM($O7,$Q7,$S7,$U7,$W7,$Y7,$AA7,$AC7,$AE7,$AG7)</f>
        <v>0</v>
      </c>
      <c r="BG7" s="350">
        <f>SUM($P7,$R7,$T7,$V7,$X7,$Z7,$AB7,$AD7,$AF7,$AH7)</f>
        <v>0</v>
      </c>
      <c r="BH7" s="351">
        <f>SUM(BF7,BG7)</f>
        <v>0</v>
      </c>
      <c r="BI7" s="342">
        <f>SUM($Q7,$S7,$U7,$W7,$Y7,$AA7,$AC7,$AE7,$AG7)</f>
        <v>0</v>
      </c>
      <c r="BJ7" s="350">
        <f>SUM($R7,$T7,$V7,$X7,$Z7,$AB7,$AD7,$AF7,$AH7)</f>
        <v>0</v>
      </c>
      <c r="BK7" s="351">
        <f>SUM(BI7,BJ7)</f>
        <v>0</v>
      </c>
      <c r="BL7" s="342">
        <f>SUM($S7,$U7,$W7,$Y7,$AA7,$AC7,$AE7,$AG7)</f>
        <v>0</v>
      </c>
      <c r="BM7" s="350">
        <f>SUM($T7,$V7,$X7,$Z7,$AB7,$AD7,$AF7,$AH7)</f>
        <v>0</v>
      </c>
      <c r="BN7" s="351">
        <f>SUM(BL7,BM7)</f>
        <v>0</v>
      </c>
      <c r="BO7" s="342">
        <f>SUM($U7,$W7,$Y7,$AA7,$AC7,$AE7,$AG7)</f>
        <v>0</v>
      </c>
      <c r="BP7" s="350">
        <f>SUM($V7,$X7,$Z7,$AB7,$AD7,$AF7,$AH7)</f>
        <v>0</v>
      </c>
      <c r="BQ7" s="351">
        <f>SUM(BO7,BP7)</f>
        <v>0</v>
      </c>
      <c r="BR7" s="342">
        <f>SUM($W7,$Y7,$AA7,$AC7,$AE7,$AG7)</f>
        <v>0</v>
      </c>
      <c r="BS7" s="350">
        <f>SUM($X7,$Z7,$AB7,$AD7,$AF7,$AH7)</f>
        <v>0</v>
      </c>
      <c r="BT7" s="351">
        <f>SUM(BR7,BS7)</f>
        <v>0</v>
      </c>
      <c r="BU7" s="342">
        <f>SUM($Y7,$AA7,$AC7,$AE7,$AG7)</f>
        <v>0</v>
      </c>
      <c r="BV7" s="350">
        <f>SUM($Z7,$AB7,$AD7,$AF7,$AH7)</f>
        <v>0</v>
      </c>
      <c r="BW7" s="351">
        <f>SUM(BU7,BV7)</f>
        <v>0</v>
      </c>
      <c r="BX7" s="342">
        <f>SUM($AA7,$AC7,$AE7,$AG7)</f>
        <v>0</v>
      </c>
      <c r="BY7" s="350">
        <f>SUM($AB7,$AD7,$AF7,$AH7)</f>
        <v>0</v>
      </c>
      <c r="BZ7" s="351">
        <f>SUM(BX7,BY7)</f>
        <v>0</v>
      </c>
      <c r="CA7" s="342">
        <f>SUM($AC7,$AE7,$AG7)</f>
        <v>0</v>
      </c>
      <c r="CB7" s="350">
        <f>SUM($AD7,$AF7,$AH7)</f>
        <v>0</v>
      </c>
      <c r="CC7" s="351">
        <f>SUM(CA7,CB7)</f>
        <v>0</v>
      </c>
      <c r="CD7" s="342">
        <f>SUM($AE7,$AG7)</f>
        <v>0</v>
      </c>
      <c r="CE7" s="350">
        <f>SUM($AF7,$AH7)</f>
        <v>0</v>
      </c>
      <c r="CF7" s="351">
        <f>SUM(CD7,CE7)</f>
        <v>0</v>
      </c>
      <c r="CG7" s="342">
        <f>SUM($AG7)</f>
        <v>0</v>
      </c>
      <c r="CH7" s="350">
        <f>SUM($AH7)</f>
        <v>0</v>
      </c>
      <c r="CI7" s="351">
        <f>SUM(CG7,CH7)</f>
        <v>0</v>
      </c>
      <c r="CJ7" s="342">
        <f>SUM($AG7)</f>
        <v>0</v>
      </c>
      <c r="CK7" s="350">
        <f>SUM($AH7)</f>
        <v>0</v>
      </c>
      <c r="CL7" s="351">
        <f>SUM(CJ7,CK7)</f>
        <v>0</v>
      </c>
      <c r="CM7" s="342">
        <f>SUM($AG7)</f>
        <v>0</v>
      </c>
      <c r="CN7" s="350">
        <f>SUM($AH7)</f>
        <v>0</v>
      </c>
      <c r="CO7" s="351">
        <f>SUM(CM7,CN7)</f>
        <v>0</v>
      </c>
      <c r="CP7" s="342">
        <f>SUM($AG7)</f>
        <v>0</v>
      </c>
      <c r="CQ7" s="350">
        <f>SUM($AH7)</f>
        <v>0</v>
      </c>
      <c r="CR7" s="351">
        <f>SUM(CP7,CQ7)</f>
        <v>0</v>
      </c>
      <c r="CS7" s="342">
        <f>SUM($AG7)</f>
        <v>0</v>
      </c>
      <c r="CT7" s="350">
        <f>SUM($AH7)</f>
        <v>0</v>
      </c>
      <c r="CU7" s="351">
        <f>SUM(CS7,CT7)</f>
        <v>0</v>
      </c>
      <c r="CV7" s="342">
        <f>SUM($AG7)</f>
        <v>0</v>
      </c>
      <c r="CW7" s="350">
        <f>SUM($AH7)</f>
        <v>0</v>
      </c>
      <c r="CX7" s="351">
        <f>SUM(CV7,CW7)</f>
        <v>0</v>
      </c>
    </row>
    <row r="8" spans="1:102" s="213" customFormat="1">
      <c r="A8" s="340" t="str">
        <f>'HSZ do groszy'!A8</f>
        <v xml:space="preserve"> -</v>
      </c>
      <c r="B8" s="341">
        <f>ROUNDUP('HSZ do groszy'!B8,0)</f>
        <v>0</v>
      </c>
      <c r="C8" s="342">
        <f>ROUNDUP('HSZ do groszy'!C8,0)</f>
        <v>0</v>
      </c>
      <c r="D8" s="343">
        <f>ROUNDUP('HSZ do groszy'!D8,0)</f>
        <v>0</v>
      </c>
      <c r="E8" s="344">
        <f t="shared" si="0"/>
        <v>0</v>
      </c>
      <c r="F8" s="345">
        <f t="shared" si="1"/>
        <v>0</v>
      </c>
      <c r="G8" s="342">
        <f>ROUNDUP('HSZ do groszy'!G8,0)</f>
        <v>0</v>
      </c>
      <c r="H8" s="343">
        <f>ROUNDUP('HSZ do groszy'!H8,0)</f>
        <v>0</v>
      </c>
      <c r="I8" s="342">
        <f>ROUNDUP('HSZ do groszy'!I8,0)</f>
        <v>0</v>
      </c>
      <c r="J8" s="343">
        <f>ROUNDUP('HSZ do groszy'!J8,0)</f>
        <v>0</v>
      </c>
      <c r="K8" s="346">
        <f>ROUNDUP('HSZ do groszy'!K8,0)</f>
        <v>0</v>
      </c>
      <c r="L8" s="341">
        <f>ROUNDUP('HSZ do groszy'!L8,0)</f>
        <v>0</v>
      </c>
      <c r="M8" s="342">
        <f>ROUNDUP('HSZ do groszy'!M8,0)</f>
        <v>0</v>
      </c>
      <c r="N8" s="343">
        <f>ROUNDUP('HSZ do groszy'!N8,0)</f>
        <v>0</v>
      </c>
      <c r="O8" s="346">
        <f>ROUNDUP('HSZ do groszy'!O8,0)</f>
        <v>0</v>
      </c>
      <c r="P8" s="341">
        <f>ROUNDUP('HSZ do groszy'!P8,0)</f>
        <v>0</v>
      </c>
      <c r="Q8" s="342">
        <f>ROUNDUP('HSZ do groszy'!Q8,0)</f>
        <v>0</v>
      </c>
      <c r="R8" s="343">
        <f>ROUNDUP('HSZ do groszy'!R8,0)</f>
        <v>0</v>
      </c>
      <c r="S8" s="346">
        <f>ROUNDUP('HSZ do groszy'!S8,0)</f>
        <v>0</v>
      </c>
      <c r="T8" s="341">
        <f>ROUNDUP('HSZ do groszy'!T8,0)</f>
        <v>0</v>
      </c>
      <c r="U8" s="342">
        <f>ROUNDUP('HSZ do groszy'!U8,0)</f>
        <v>0</v>
      </c>
      <c r="V8" s="343">
        <f>ROUNDUP('HSZ do groszy'!V8,0)</f>
        <v>0</v>
      </c>
      <c r="W8" s="346">
        <f>ROUNDUP('HSZ do groszy'!W8,0)</f>
        <v>0</v>
      </c>
      <c r="X8" s="341">
        <f>ROUNDUP('HSZ do groszy'!X8,0)</f>
        <v>0</v>
      </c>
      <c r="Y8" s="342">
        <f>ROUNDUP('HSZ do groszy'!Y8,0)</f>
        <v>0</v>
      </c>
      <c r="Z8" s="343">
        <f>ROUNDUP('HSZ do groszy'!Z8,0)</f>
        <v>0</v>
      </c>
      <c r="AA8" s="346">
        <f>ROUNDUP('HSZ do groszy'!AA8,0)</f>
        <v>0</v>
      </c>
      <c r="AB8" s="341">
        <f>ROUNDUP('HSZ do groszy'!AB8,0)</f>
        <v>0</v>
      </c>
      <c r="AC8" s="342">
        <f>ROUNDUP('HSZ do groszy'!AC8,0)</f>
        <v>0</v>
      </c>
      <c r="AD8" s="343">
        <f>ROUNDUP('HSZ do groszy'!AD8,0)</f>
        <v>0</v>
      </c>
      <c r="AE8" s="346">
        <f>ROUNDUP('HSZ do groszy'!AE8,0)</f>
        <v>0</v>
      </c>
      <c r="AF8" s="343">
        <f>ROUNDUP('HSZ do groszy'!AF8,0)</f>
        <v>0</v>
      </c>
      <c r="AG8" s="346">
        <f>ROUNDUP('HSZ do groszy'!AG8,0)</f>
        <v>0</v>
      </c>
      <c r="AH8" s="347">
        <f>ROUNDUP('HSZ do groszy'!AH8,0)</f>
        <v>0</v>
      </c>
      <c r="AI8" s="346">
        <f>ROUNDUP('HSZ do groszy'!AI8,0)</f>
        <v>0</v>
      </c>
      <c r="AJ8" s="347">
        <f>ROUNDUP('HSZ do groszy'!AJ8,0)</f>
        <v>0</v>
      </c>
      <c r="AK8" s="346">
        <f>ROUNDUP('HSZ do groszy'!AK8,0)</f>
        <v>0</v>
      </c>
      <c r="AL8" s="347">
        <f>ROUNDUP('HSZ do groszy'!AL8,0)</f>
        <v>0</v>
      </c>
      <c r="AM8" s="346">
        <f>ROUNDUP('HSZ do groszy'!AM8,0)</f>
        <v>0</v>
      </c>
      <c r="AN8" s="347">
        <f>ROUNDUP('HSZ do groszy'!AN8,0)</f>
        <v>0</v>
      </c>
      <c r="AO8" s="346">
        <f>ROUNDUP('HSZ do groszy'!AO8,0)</f>
        <v>0</v>
      </c>
      <c r="AP8" s="347">
        <f>ROUNDUP('HSZ do groszy'!AP8,0)</f>
        <v>0</v>
      </c>
      <c r="AQ8" s="346">
        <f>ROUNDUP('HSZ do groszy'!AQ8,0)</f>
        <v>0</v>
      </c>
      <c r="AR8" s="347">
        <f>ROUNDUP('HSZ do groszy'!AR8,0)</f>
        <v>0</v>
      </c>
      <c r="AS8" s="352"/>
      <c r="AT8" s="352"/>
      <c r="AU8" s="348" t="str">
        <f t="shared" si="2"/>
        <v xml:space="preserve"> -</v>
      </c>
      <c r="AV8" s="349">
        <f t="shared" si="2"/>
        <v>0</v>
      </c>
      <c r="AW8" s="342">
        <f>SUM($I8,$K8,$M8,$O8,$Q8,$S8,$U8,$W8,$Y8,$AA8,$AC8,$AE8,$AG8)</f>
        <v>0</v>
      </c>
      <c r="AX8" s="350">
        <f>SUM($J8,$L8,$N8,$P8,$R8,$T8,$V8,$X8,$Z8,$AB8,$AD8,$AF8,$AH8)</f>
        <v>0</v>
      </c>
      <c r="AY8" s="351">
        <f>SUM(AW8,AX8)</f>
        <v>0</v>
      </c>
      <c r="AZ8" s="342">
        <f>SUM($K8,$M8,$O8,$Q8,$S8,$U8,$W8,$Y8,$AA8,$AC8,$AE8,$AG8)</f>
        <v>0</v>
      </c>
      <c r="BA8" s="350">
        <f>SUM($L8,$N8,$P8,$R8,$T8,$V8,$X8,$Z8,$AB8,$AD8,$AF8,$AH8)</f>
        <v>0</v>
      </c>
      <c r="BB8" s="351">
        <f>SUM(AZ8,BA8)</f>
        <v>0</v>
      </c>
      <c r="BC8" s="342">
        <f>SUM($M8,$O8,$Q8,$S8,$U8,$W8,$Y8,$AA8,$AC8,$AE8,$AG8)</f>
        <v>0</v>
      </c>
      <c r="BD8" s="350">
        <f>SUM($N8,$P8,$R8,$T8,$V8,$X8,$Z8,$AB8,$AD8,$AF8,$AH8)</f>
        <v>0</v>
      </c>
      <c r="BE8" s="351">
        <f>SUM(BC8,BD8)</f>
        <v>0</v>
      </c>
      <c r="BF8" s="342">
        <f>SUM($O8,$Q8,$S8,$U8,$W8,$Y8,$AA8,$AC8,$AE8,$AG8)</f>
        <v>0</v>
      </c>
      <c r="BG8" s="350">
        <f>SUM($P8,$R8,$T8,$V8,$X8,$Z8,$AB8,$AD8,$AF8,$AH8)</f>
        <v>0</v>
      </c>
      <c r="BH8" s="351">
        <f>SUM(BF8,BG8)</f>
        <v>0</v>
      </c>
      <c r="BI8" s="342">
        <f>SUM($Q8,$S8,$U8,$W8,$Y8,$AA8,$AC8,$AE8,$AG8)</f>
        <v>0</v>
      </c>
      <c r="BJ8" s="350">
        <f>SUM($R8,$T8,$V8,$X8,$Z8,$AB8,$AD8,$AF8,$AH8)</f>
        <v>0</v>
      </c>
      <c r="BK8" s="351">
        <f>SUM(BI8,BJ8)</f>
        <v>0</v>
      </c>
      <c r="BL8" s="342">
        <f>SUM($S8,$U8,$W8,$Y8,$AA8,$AC8,$AE8,$AG8)</f>
        <v>0</v>
      </c>
      <c r="BM8" s="350">
        <f>SUM($T8,$V8,$X8,$Z8,$AB8,$AD8,$AF8,$AH8)</f>
        <v>0</v>
      </c>
      <c r="BN8" s="351">
        <f>SUM(BL8,BM8)</f>
        <v>0</v>
      </c>
      <c r="BO8" s="342">
        <f>SUM($U8,$W8,$Y8,$AA8,$AC8,$AE8,$AG8)</f>
        <v>0</v>
      </c>
      <c r="BP8" s="350">
        <f>SUM($V8,$X8,$Z8,$AB8,$AD8,$AF8,$AH8)</f>
        <v>0</v>
      </c>
      <c r="BQ8" s="351">
        <f>SUM(BO8,BP8)</f>
        <v>0</v>
      </c>
      <c r="BR8" s="342">
        <f>SUM($W8,$Y8,$AA8,$AC8,$AE8,$AG8)</f>
        <v>0</v>
      </c>
      <c r="BS8" s="350">
        <f>SUM($X8,$Z8,$AB8,$AD8,$AF8,$AH8)</f>
        <v>0</v>
      </c>
      <c r="BT8" s="351">
        <f>SUM(BR8,BS8)</f>
        <v>0</v>
      </c>
      <c r="BU8" s="342">
        <f>SUM($Y8,$AA8,$AC8,$AE8,$AG8)</f>
        <v>0</v>
      </c>
      <c r="BV8" s="350">
        <f>SUM($Z8,$AB8,$AD8,$AF8,$AH8)</f>
        <v>0</v>
      </c>
      <c r="BW8" s="351">
        <f>SUM(BU8,BV8)</f>
        <v>0</v>
      </c>
      <c r="BX8" s="342">
        <f>SUM($AA8,$AC8,$AE8,$AG8)</f>
        <v>0</v>
      </c>
      <c r="BY8" s="350">
        <f>SUM($AB8,$AD8,$AF8,$AH8)</f>
        <v>0</v>
      </c>
      <c r="BZ8" s="351">
        <f>SUM(BX8,BY8)</f>
        <v>0</v>
      </c>
      <c r="CA8" s="342">
        <f>SUM($AC8,$AE8,$AG8)</f>
        <v>0</v>
      </c>
      <c r="CB8" s="350">
        <f>SUM($AD8,$AF8,$AH8)</f>
        <v>0</v>
      </c>
      <c r="CC8" s="351">
        <f>SUM(CA8,CB8)</f>
        <v>0</v>
      </c>
      <c r="CD8" s="342">
        <f>SUM($AE8,$AG8)</f>
        <v>0</v>
      </c>
      <c r="CE8" s="350">
        <f>SUM($AF8,$AH8)</f>
        <v>0</v>
      </c>
      <c r="CF8" s="351">
        <f>SUM(CD8,CE8)</f>
        <v>0</v>
      </c>
      <c r="CG8" s="342">
        <f>SUM($AG8)</f>
        <v>0</v>
      </c>
      <c r="CH8" s="350">
        <f>SUM($AH8)</f>
        <v>0</v>
      </c>
      <c r="CI8" s="351">
        <f>SUM(CG8,CH8)</f>
        <v>0</v>
      </c>
      <c r="CJ8" s="342">
        <f>SUM($AG8)</f>
        <v>0</v>
      </c>
      <c r="CK8" s="350">
        <f>SUM($AH8)</f>
        <v>0</v>
      </c>
      <c r="CL8" s="351">
        <f>SUM(CJ8,CK8)</f>
        <v>0</v>
      </c>
      <c r="CM8" s="342">
        <f>SUM($AG8)</f>
        <v>0</v>
      </c>
      <c r="CN8" s="350">
        <f>SUM($AH8)</f>
        <v>0</v>
      </c>
      <c r="CO8" s="351">
        <f>SUM(CM8,CN8)</f>
        <v>0</v>
      </c>
      <c r="CP8" s="342">
        <f>SUM($AG8)</f>
        <v>0</v>
      </c>
      <c r="CQ8" s="350">
        <f>SUM($AH8)</f>
        <v>0</v>
      </c>
      <c r="CR8" s="351">
        <f>SUM(CP8,CQ8)</f>
        <v>0</v>
      </c>
      <c r="CS8" s="342">
        <f>SUM($AG8)</f>
        <v>0</v>
      </c>
      <c r="CT8" s="350">
        <f>SUM($AH8)</f>
        <v>0</v>
      </c>
      <c r="CU8" s="351">
        <f>SUM(CS8,CT8)</f>
        <v>0</v>
      </c>
      <c r="CV8" s="342">
        <f>SUM($AG8)</f>
        <v>0</v>
      </c>
      <c r="CW8" s="350">
        <f>SUM($AH8)</f>
        <v>0</v>
      </c>
      <c r="CX8" s="351">
        <f>SUM(CV8,CW8)</f>
        <v>0</v>
      </c>
    </row>
    <row r="9" spans="1:102">
      <c r="A9" s="340" t="str">
        <f>'HSZ do groszy'!A9</f>
        <v xml:space="preserve"> -</v>
      </c>
      <c r="B9" s="341">
        <f>ROUNDUP('HSZ do groszy'!B9,0)</f>
        <v>0</v>
      </c>
      <c r="C9" s="342">
        <f>ROUNDUP('HSZ do groszy'!C9,0)</f>
        <v>0</v>
      </c>
      <c r="D9" s="343">
        <f>ROUNDUP('HSZ do groszy'!D9,0)</f>
        <v>0</v>
      </c>
      <c r="E9" s="344">
        <f t="shared" si="0"/>
        <v>0</v>
      </c>
      <c r="F9" s="345">
        <f t="shared" si="1"/>
        <v>0</v>
      </c>
      <c r="G9" s="342">
        <f>ROUNDUP('HSZ do groszy'!G9,0)</f>
        <v>0</v>
      </c>
      <c r="H9" s="343">
        <f>ROUNDUP('HSZ do groszy'!H9,0)</f>
        <v>0</v>
      </c>
      <c r="I9" s="342">
        <f>ROUNDUP('HSZ do groszy'!I9,0)</f>
        <v>0</v>
      </c>
      <c r="J9" s="343">
        <f>ROUNDUP('HSZ do groszy'!J9,0)</f>
        <v>0</v>
      </c>
      <c r="K9" s="346">
        <f>ROUNDUP('HSZ do groszy'!K9,0)</f>
        <v>0</v>
      </c>
      <c r="L9" s="341">
        <f>ROUNDUP('HSZ do groszy'!L9,0)</f>
        <v>0</v>
      </c>
      <c r="M9" s="342">
        <f>ROUNDUP('HSZ do groszy'!M9,0)</f>
        <v>0</v>
      </c>
      <c r="N9" s="343">
        <f>ROUNDUP('HSZ do groszy'!N9,0)</f>
        <v>0</v>
      </c>
      <c r="O9" s="346">
        <f>ROUNDUP('HSZ do groszy'!O9,0)</f>
        <v>0</v>
      </c>
      <c r="P9" s="341">
        <f>ROUNDUP('HSZ do groszy'!P9,0)</f>
        <v>0</v>
      </c>
      <c r="Q9" s="342">
        <f>ROUNDUP('HSZ do groszy'!Q9,0)</f>
        <v>0</v>
      </c>
      <c r="R9" s="343">
        <f>ROUNDUP('HSZ do groszy'!R9,0)</f>
        <v>0</v>
      </c>
      <c r="S9" s="346">
        <f>ROUNDUP('HSZ do groszy'!S9,0)</f>
        <v>0</v>
      </c>
      <c r="T9" s="341">
        <f>ROUNDUP('HSZ do groszy'!T9,0)</f>
        <v>0</v>
      </c>
      <c r="U9" s="342">
        <f>ROUNDUP('HSZ do groszy'!U9,0)</f>
        <v>0</v>
      </c>
      <c r="V9" s="343">
        <f>ROUNDUP('HSZ do groszy'!V9,0)</f>
        <v>0</v>
      </c>
      <c r="W9" s="346">
        <f>ROUNDUP('HSZ do groszy'!W9,0)</f>
        <v>0</v>
      </c>
      <c r="X9" s="341">
        <f>ROUNDUP('HSZ do groszy'!X9,0)</f>
        <v>0</v>
      </c>
      <c r="Y9" s="342">
        <f>ROUNDUP('HSZ do groszy'!Y9,0)</f>
        <v>0</v>
      </c>
      <c r="Z9" s="343">
        <f>ROUNDUP('HSZ do groszy'!Z9,0)</f>
        <v>0</v>
      </c>
      <c r="AA9" s="346">
        <f>ROUNDUP('HSZ do groszy'!AA9,0)</f>
        <v>0</v>
      </c>
      <c r="AB9" s="341">
        <f>ROUNDUP('HSZ do groszy'!AB9,0)</f>
        <v>0</v>
      </c>
      <c r="AC9" s="342">
        <f>ROUNDUP('HSZ do groszy'!AC9,0)</f>
        <v>0</v>
      </c>
      <c r="AD9" s="343">
        <f>ROUNDUP('HSZ do groszy'!AD9,0)</f>
        <v>0</v>
      </c>
      <c r="AE9" s="346">
        <f>ROUNDUP('HSZ do groszy'!AE9,0)</f>
        <v>0</v>
      </c>
      <c r="AF9" s="343">
        <f>ROUNDUP('HSZ do groszy'!AF9,0)</f>
        <v>0</v>
      </c>
      <c r="AG9" s="346">
        <f>ROUNDUP('HSZ do groszy'!AG9,0)</f>
        <v>0</v>
      </c>
      <c r="AH9" s="347">
        <f>ROUNDUP('HSZ do groszy'!AH9,0)</f>
        <v>0</v>
      </c>
      <c r="AI9" s="346">
        <f>ROUNDUP('HSZ do groszy'!AI9,0)</f>
        <v>0</v>
      </c>
      <c r="AJ9" s="347">
        <f>ROUNDUP('HSZ do groszy'!AJ9,0)</f>
        <v>0</v>
      </c>
      <c r="AK9" s="346">
        <f>ROUNDUP('HSZ do groszy'!AK9,0)</f>
        <v>0</v>
      </c>
      <c r="AL9" s="347">
        <f>ROUNDUP('HSZ do groszy'!AL9,0)</f>
        <v>0</v>
      </c>
      <c r="AM9" s="346">
        <f>ROUNDUP('HSZ do groszy'!AM9,0)</f>
        <v>0</v>
      </c>
      <c r="AN9" s="347">
        <f>ROUNDUP('HSZ do groszy'!AN9,0)</f>
        <v>0</v>
      </c>
      <c r="AO9" s="346">
        <f>ROUNDUP('HSZ do groszy'!AO9,0)</f>
        <v>0</v>
      </c>
      <c r="AP9" s="347">
        <f>ROUNDUP('HSZ do groszy'!AP9,0)</f>
        <v>0</v>
      </c>
      <c r="AQ9" s="346">
        <f>ROUNDUP('HSZ do groszy'!AQ9,0)</f>
        <v>0</v>
      </c>
      <c r="AR9" s="347">
        <f>ROUNDUP('HSZ do groszy'!AR9,0)</f>
        <v>0</v>
      </c>
      <c r="AS9" s="192"/>
      <c r="AT9" s="192"/>
      <c r="AU9" s="348" t="str">
        <f t="shared" si="2"/>
        <v xml:space="preserve"> -</v>
      </c>
      <c r="AV9" s="349">
        <f t="shared" si="2"/>
        <v>0</v>
      </c>
      <c r="AW9" s="342">
        <f>SUM($I9,$K9,$M9,$O9,$Q9,$S9,$U9,$W9,$Y9,$AA9,$AC9,$AE9,$AG9)</f>
        <v>0</v>
      </c>
      <c r="AX9" s="350">
        <f>SUM($J9,$L9,$N9,$P9,$R9,$T9,$V9,$X9,$Z9,$AB9,$AD9,$AF9,$AH9)</f>
        <v>0</v>
      </c>
      <c r="AY9" s="351">
        <f>SUM(AW9,AX9)</f>
        <v>0</v>
      </c>
      <c r="AZ9" s="342">
        <f>SUM($K9,$M9,$O9,$Q9,$S9,$U9,$W9,$Y9,$AA9,$AC9,$AE9,$AG9)</f>
        <v>0</v>
      </c>
      <c r="BA9" s="350">
        <f>SUM($L9,$N9,$P9,$R9,$T9,$V9,$X9,$Z9,$AB9,$AD9,$AF9,$AH9)</f>
        <v>0</v>
      </c>
      <c r="BB9" s="351">
        <f>SUM(AZ9,BA9)</f>
        <v>0</v>
      </c>
      <c r="BC9" s="342">
        <f>SUM($M9,$O9,$Q9,$S9,$U9,$W9,$Y9,$AA9,$AC9,$AE9,$AG9)</f>
        <v>0</v>
      </c>
      <c r="BD9" s="350">
        <f>SUM($N9,$P9,$R9,$T9,$V9,$X9,$Z9,$AB9,$AD9,$AF9,$AH9)</f>
        <v>0</v>
      </c>
      <c r="BE9" s="351">
        <f>SUM(BC9,BD9)</f>
        <v>0</v>
      </c>
      <c r="BF9" s="342">
        <f>SUM($O9,$Q9,$S9,$U9,$W9,$Y9,$AA9,$AC9,$AE9,$AG9)</f>
        <v>0</v>
      </c>
      <c r="BG9" s="350">
        <f>SUM($P9,$R9,$T9,$V9,$X9,$Z9,$AB9,$AD9,$AF9,$AH9)</f>
        <v>0</v>
      </c>
      <c r="BH9" s="351">
        <f>SUM(BF9,BG9)</f>
        <v>0</v>
      </c>
      <c r="BI9" s="342">
        <f>SUM($Q9,$S9,$U9,$W9,$Y9,$AA9,$AC9,$AE9,$AG9)</f>
        <v>0</v>
      </c>
      <c r="BJ9" s="350">
        <f>SUM($R9,$T9,$V9,$X9,$Z9,$AB9,$AD9,$AF9,$AH9)</f>
        <v>0</v>
      </c>
      <c r="BK9" s="351">
        <f>SUM(BI9,BJ9)</f>
        <v>0</v>
      </c>
      <c r="BL9" s="342">
        <f>SUM($S9,$U9,$W9,$Y9,$AA9,$AC9,$AE9,$AG9)</f>
        <v>0</v>
      </c>
      <c r="BM9" s="350">
        <f>SUM($T9,$V9,$X9,$Z9,$AB9,$AD9,$AF9,$AH9)</f>
        <v>0</v>
      </c>
      <c r="BN9" s="351">
        <f>SUM(BL9,BM9)</f>
        <v>0</v>
      </c>
      <c r="BO9" s="342">
        <f>SUM($U9,$W9,$Y9,$AA9,$AC9,$AE9,$AG9)</f>
        <v>0</v>
      </c>
      <c r="BP9" s="350">
        <f>SUM($V9,$X9,$Z9,$AB9,$AD9,$AF9,$AH9)</f>
        <v>0</v>
      </c>
      <c r="BQ9" s="351">
        <f>SUM(BO9,BP9)</f>
        <v>0</v>
      </c>
      <c r="BR9" s="342">
        <f>SUM($W9,$Y9,$AA9,$AC9,$AE9,$AG9)</f>
        <v>0</v>
      </c>
      <c r="BS9" s="350">
        <f>SUM($X9,$Z9,$AB9,$AD9,$AF9,$AH9)</f>
        <v>0</v>
      </c>
      <c r="BT9" s="351">
        <f>SUM(BR9,BS9)</f>
        <v>0</v>
      </c>
      <c r="BU9" s="342">
        <f>SUM($Y9,$AA9,$AC9,$AE9,$AG9)</f>
        <v>0</v>
      </c>
      <c r="BV9" s="350">
        <f>SUM($Z9,$AB9,$AD9,$AF9,$AH9)</f>
        <v>0</v>
      </c>
      <c r="BW9" s="351">
        <f>SUM(BU9,BV9)</f>
        <v>0</v>
      </c>
      <c r="BX9" s="342">
        <f>SUM($AA9,$AC9,$AE9,$AG9)</f>
        <v>0</v>
      </c>
      <c r="BY9" s="350">
        <f>SUM($AB9,$AD9,$AF9,$AH9)</f>
        <v>0</v>
      </c>
      <c r="BZ9" s="351">
        <f>SUM(BX9,BY9)</f>
        <v>0</v>
      </c>
      <c r="CA9" s="342">
        <f>SUM($AC9,$AE9,$AG9)</f>
        <v>0</v>
      </c>
      <c r="CB9" s="350">
        <f>SUM($AD9,$AF9,$AH9)</f>
        <v>0</v>
      </c>
      <c r="CC9" s="351">
        <f>SUM(CA9,CB9)</f>
        <v>0</v>
      </c>
      <c r="CD9" s="342">
        <f>SUM($AE9,$AG9)</f>
        <v>0</v>
      </c>
      <c r="CE9" s="350">
        <f>SUM($AF9,$AH9)</f>
        <v>0</v>
      </c>
      <c r="CF9" s="351">
        <f>SUM(CD9,CE9)</f>
        <v>0</v>
      </c>
      <c r="CG9" s="342">
        <f>SUM($AG9)</f>
        <v>0</v>
      </c>
      <c r="CH9" s="350">
        <f>SUM($AH9)</f>
        <v>0</v>
      </c>
      <c r="CI9" s="351">
        <f>SUM(CG9,CH9)</f>
        <v>0</v>
      </c>
      <c r="CJ9" s="342">
        <f>SUM($AG9)</f>
        <v>0</v>
      </c>
      <c r="CK9" s="350">
        <f>SUM($AH9)</f>
        <v>0</v>
      </c>
      <c r="CL9" s="351">
        <f>SUM(CJ9,CK9)</f>
        <v>0</v>
      </c>
      <c r="CM9" s="342">
        <f>SUM($AG9)</f>
        <v>0</v>
      </c>
      <c r="CN9" s="350">
        <f>SUM($AH9)</f>
        <v>0</v>
      </c>
      <c r="CO9" s="351">
        <f>SUM(CM9,CN9)</f>
        <v>0</v>
      </c>
      <c r="CP9" s="342">
        <f>SUM($AG9)</f>
        <v>0</v>
      </c>
      <c r="CQ9" s="350">
        <f>SUM($AH9)</f>
        <v>0</v>
      </c>
      <c r="CR9" s="351">
        <f>SUM(CP9,CQ9)</f>
        <v>0</v>
      </c>
      <c r="CS9" s="342">
        <f>SUM($AG9)</f>
        <v>0</v>
      </c>
      <c r="CT9" s="350">
        <f>SUM($AH9)</f>
        <v>0</v>
      </c>
      <c r="CU9" s="351">
        <f>SUM(CS9,CT9)</f>
        <v>0</v>
      </c>
      <c r="CV9" s="342">
        <f>SUM($AG9)</f>
        <v>0</v>
      </c>
      <c r="CW9" s="350">
        <f>SUM($AH9)</f>
        <v>0</v>
      </c>
      <c r="CX9" s="351">
        <f>SUM(CV9,CW9)</f>
        <v>0</v>
      </c>
    </row>
    <row r="10" spans="1:102">
      <c r="A10" s="340" t="str">
        <f>'HSZ do groszy'!A10</f>
        <v>kredyt jessica 2013</v>
      </c>
      <c r="B10" s="353">
        <f>ROUNDUP('HSZ do groszy'!B10,0)</f>
        <v>0</v>
      </c>
      <c r="C10" s="342">
        <f>ROUNDUP('HSZ do groszy'!C10,0)</f>
        <v>0</v>
      </c>
      <c r="D10" s="343">
        <f>ROUNDUP('HSZ do groszy'!D10,0)</f>
        <v>0</v>
      </c>
      <c r="E10" s="344">
        <f>SUM(M10,O10,Q10,S10,U10,W10,Y10,AA10,AC10,AE10,AG10,AI10,AK10,AM10,AO10,AQ10)</f>
        <v>4200000</v>
      </c>
      <c r="F10" s="344">
        <f>SUM(J10,L10,N10,P10,R10,T10,V10,X10,Z10,AB10,AD10,AF10,AH10,AJ10,AL10,AN10,AP10,AR10)</f>
        <v>1815462</v>
      </c>
      <c r="G10" s="342">
        <f>ROUNDUP('HSZ do groszy'!G10,0)</f>
        <v>0</v>
      </c>
      <c r="H10" s="343">
        <f>ROUNDUP('HSZ do groszy'!H10,0)</f>
        <v>0</v>
      </c>
      <c r="I10" s="342">
        <f>ROUNDUP('HSZ do groszy'!I10,0)</f>
        <v>0</v>
      </c>
      <c r="J10" s="343">
        <f>ROUNDUP('HSZ do groszy'!J10,0)</f>
        <v>42268</v>
      </c>
      <c r="K10" s="346">
        <f>ROUNDUP('HSZ do groszy'!K10,0)</f>
        <v>0</v>
      </c>
      <c r="L10" s="341">
        <f>ROUNDUP('HSZ do groszy'!L10,0)</f>
        <v>288074</v>
      </c>
      <c r="M10" s="342">
        <f>ROUNDUP('HSZ do groszy'!M10,0)</f>
        <v>324000</v>
      </c>
      <c r="N10" s="343">
        <f>ROUNDUP('HSZ do groszy'!N10,0)</f>
        <v>212100</v>
      </c>
      <c r="O10" s="346">
        <f>ROUNDUP('HSZ do groszy'!O10,0)</f>
        <v>324000</v>
      </c>
      <c r="P10" s="341">
        <f>ROUNDUP('HSZ do groszy'!P10,0)</f>
        <v>195800</v>
      </c>
      <c r="Q10" s="342">
        <f>ROUNDUP('HSZ do groszy'!Q10,0)</f>
        <v>324000</v>
      </c>
      <c r="R10" s="343">
        <f>ROUNDUP('HSZ do groszy'!R10,0)</f>
        <v>179500</v>
      </c>
      <c r="S10" s="346">
        <f>ROUNDUP('HSZ do groszy'!S10,0)</f>
        <v>324000</v>
      </c>
      <c r="T10" s="341">
        <f>ROUNDUP('HSZ do groszy'!T10,0)</f>
        <v>163200</v>
      </c>
      <c r="U10" s="342">
        <f>ROUNDUP('HSZ do groszy'!U10,0)</f>
        <v>324000</v>
      </c>
      <c r="V10" s="343">
        <f>ROUNDUP('HSZ do groszy'!V10,0)</f>
        <v>146900</v>
      </c>
      <c r="W10" s="346">
        <f>ROUNDUP('HSZ do groszy'!W10,0)</f>
        <v>324000</v>
      </c>
      <c r="X10" s="341">
        <f>ROUNDUP('HSZ do groszy'!X10,0)</f>
        <v>130600</v>
      </c>
      <c r="Y10" s="342">
        <f>ROUNDUP('HSZ do groszy'!Y10,0)</f>
        <v>324000</v>
      </c>
      <c r="Z10" s="343">
        <f>ROUNDUP('HSZ do groszy'!Z10,0)</f>
        <v>114200</v>
      </c>
      <c r="AA10" s="346">
        <f>ROUNDUP('HSZ do groszy'!AA10,0)</f>
        <v>324000</v>
      </c>
      <c r="AB10" s="341">
        <f>ROUNDUP('HSZ do groszy'!AB10,0)</f>
        <v>97900</v>
      </c>
      <c r="AC10" s="342">
        <f>ROUNDUP('HSZ do groszy'!AC10,0)</f>
        <v>324000</v>
      </c>
      <c r="AD10" s="343">
        <f>ROUNDUP('HSZ do groszy'!AD10,0)</f>
        <v>81600</v>
      </c>
      <c r="AE10" s="346">
        <f>ROUNDUP('HSZ do groszy'!AE10,0)</f>
        <v>324000</v>
      </c>
      <c r="AF10" s="343">
        <f>ROUNDUP('HSZ do groszy'!AF10,0)</f>
        <v>65300</v>
      </c>
      <c r="AG10" s="346">
        <f>ROUNDUP('HSZ do groszy'!AG10,0)</f>
        <v>324000</v>
      </c>
      <c r="AH10" s="347">
        <f>ROUNDUP('HSZ do groszy'!AH10,0)</f>
        <v>49000</v>
      </c>
      <c r="AI10" s="346">
        <f>ROUNDUP('HSZ do groszy'!AI10,0)</f>
        <v>324000</v>
      </c>
      <c r="AJ10" s="347">
        <f>ROUNDUP('HSZ do groszy'!AJ10,0)</f>
        <v>32700</v>
      </c>
      <c r="AK10" s="346">
        <f>ROUNDUP('HSZ do groszy'!AK10,0)</f>
        <v>312000</v>
      </c>
      <c r="AL10" s="347">
        <f>ROUNDUP('HSZ do groszy'!AL10,0)</f>
        <v>16320</v>
      </c>
      <c r="AM10" s="346">
        <f>ROUNDUP('HSZ do groszy'!AM10,0)</f>
        <v>0</v>
      </c>
      <c r="AN10" s="347">
        <f>ROUNDUP('HSZ do groszy'!AN10,0)</f>
        <v>0</v>
      </c>
      <c r="AO10" s="346">
        <f>ROUNDUP('HSZ do groszy'!AO10,0)</f>
        <v>0</v>
      </c>
      <c r="AP10" s="347">
        <f>ROUNDUP('HSZ do groszy'!AP10,0)</f>
        <v>0</v>
      </c>
      <c r="AQ10" s="346">
        <f>ROUNDUP('HSZ do groszy'!AQ10,0)</f>
        <v>0</v>
      </c>
      <c r="AR10" s="347">
        <f>ROUNDUP('HSZ do groszy'!AR10,0)</f>
        <v>0</v>
      </c>
      <c r="AS10" s="192"/>
      <c r="AT10" s="192"/>
      <c r="AU10" s="348" t="str">
        <f t="shared" si="2"/>
        <v>kredyt jessica 2013</v>
      </c>
      <c r="AV10" s="349">
        <f t="shared" si="2"/>
        <v>0</v>
      </c>
      <c r="AW10" s="342">
        <v>0</v>
      </c>
      <c r="AX10" s="350">
        <v>0</v>
      </c>
      <c r="AY10" s="351">
        <f>SUM(AW10,AX10)</f>
        <v>0</v>
      </c>
      <c r="AZ10" s="342">
        <v>592000</v>
      </c>
      <c r="BA10" s="350">
        <f>SUM($L10,$N10,$P10,$R10,$T10,$V10,$X10,$Z10,$AB10,$AD10,$AF10,$AH10)</f>
        <v>1724174</v>
      </c>
      <c r="BB10" s="351">
        <f>SUM(AZ10,BA10)</f>
        <v>2316174</v>
      </c>
      <c r="BC10" s="342">
        <v>4200000</v>
      </c>
      <c r="BD10" s="350">
        <f>SUM($N10,$P10,$R10,$T10,$V10,$X10,$Z10,$AB10,$AD10,$AF10,$AH10)</f>
        <v>1436100</v>
      </c>
      <c r="BE10" s="351">
        <f>SUM(BC10,BD10)</f>
        <v>5636100</v>
      </c>
      <c r="BF10" s="342">
        <f>SUM(O10,Q10,S10,U10,W10,Y10,AA10,AC10,AE10,AG10,AI10,AK10)</f>
        <v>3876000</v>
      </c>
      <c r="BG10" s="350">
        <f>SUM($P10,$R10,$T10,$V10,$X10,$Z10,$AB10,$AD10,$AF10,$AH10)</f>
        <v>1224000</v>
      </c>
      <c r="BH10" s="351">
        <f>SUM(BF10,BG10)</f>
        <v>5100000</v>
      </c>
      <c r="BI10" s="342">
        <f>SUM(Q10,S10,U10,W10,Y10,AA10,AC10,AE10,AG10,AI10,AK10)</f>
        <v>3552000</v>
      </c>
      <c r="BJ10" s="350">
        <f>SUM($R10,$T10,$V10,$X10,$Z10,$AB10,$AD10,$AF10,$AH10)</f>
        <v>1028200</v>
      </c>
      <c r="BK10" s="351">
        <f>SUM(BI10,BJ10)</f>
        <v>4580200</v>
      </c>
      <c r="BL10" s="342">
        <f>SUM(S10,U10,W10,Y10,AA10,AC10,AE10,AG10,AI10,AK10)</f>
        <v>3228000</v>
      </c>
      <c r="BM10" s="350">
        <f>SUM($T10,$V10,$X10,$Z10,$AB10,$AD10,$AF10,$AH10)</f>
        <v>848700</v>
      </c>
      <c r="BN10" s="351">
        <f>SUM(BL10,BM10)</f>
        <v>4076700</v>
      </c>
      <c r="BO10" s="342">
        <f>SUM(U10,W10,Y10,AA10,AC10,AE10,AG10,AI10,AK10)</f>
        <v>2904000</v>
      </c>
      <c r="BP10" s="350">
        <f>SUM($V10,$X10,$Z10,$AB10,$AD10,$AF10,$AH10)</f>
        <v>685500</v>
      </c>
      <c r="BQ10" s="351">
        <f>SUM(BO10,BP10)</f>
        <v>3589500</v>
      </c>
      <c r="BR10" s="342">
        <f>SUM(W10,Y10,AA10,AC10,AE10,AG10,AI10,AK10)</f>
        <v>2580000</v>
      </c>
      <c r="BS10" s="350">
        <f>SUM($X10,$Z10,$AB10,$AD10,$AF10,$AH10)</f>
        <v>538600</v>
      </c>
      <c r="BT10" s="351">
        <f>SUM(BR10,BS10)</f>
        <v>3118600</v>
      </c>
      <c r="BU10" s="342">
        <f>SUM(Y10,AA10,AC10,AE10,AG10,AI10,AK10)</f>
        <v>2256000</v>
      </c>
      <c r="BV10" s="350">
        <f>SUM($Z10,$AB10,$AD10,$AF10,$AH10)</f>
        <v>408000</v>
      </c>
      <c r="BW10" s="351">
        <f>SUM(BU10,BV10)</f>
        <v>2664000</v>
      </c>
      <c r="BX10" s="342">
        <f>SUM(AA10,AC10,AE10,AG10,AI10,AK10)</f>
        <v>1932000</v>
      </c>
      <c r="BY10" s="350">
        <f>SUM($AB10,$AD10,$AF10,$AH10)</f>
        <v>293800</v>
      </c>
      <c r="BZ10" s="351">
        <f>SUM(BX10,BY10)</f>
        <v>2225800</v>
      </c>
      <c r="CA10" s="342">
        <f>SUM(AC10,AE10,AG10,AI10,AK10)</f>
        <v>1608000</v>
      </c>
      <c r="CB10" s="350">
        <f>SUM($AD10,$AF10,$AH10)</f>
        <v>195900</v>
      </c>
      <c r="CC10" s="351">
        <f>SUM(CA10,CB10)</f>
        <v>1803900</v>
      </c>
      <c r="CD10" s="342">
        <f>SUM(AE10,AG10,AI10,AK10)</f>
        <v>1284000</v>
      </c>
      <c r="CE10" s="350">
        <f>SUM($AF10,$AH10)</f>
        <v>114300</v>
      </c>
      <c r="CF10" s="351">
        <f>SUM(CD10,CE10)</f>
        <v>1398300</v>
      </c>
      <c r="CG10" s="342">
        <f>SUM(AG10,AI10,AK10)</f>
        <v>960000</v>
      </c>
      <c r="CH10" s="350">
        <f>SUM($AH10)</f>
        <v>49000</v>
      </c>
      <c r="CI10" s="351">
        <f>SUM(CG10,CH10)</f>
        <v>1009000</v>
      </c>
      <c r="CJ10" s="342">
        <f>SUM(AI10,AK10)</f>
        <v>636000</v>
      </c>
      <c r="CK10" s="350">
        <f>SUM($AH10)</f>
        <v>49000</v>
      </c>
      <c r="CL10" s="351">
        <f>SUM(CJ10,CK10)</f>
        <v>685000</v>
      </c>
      <c r="CM10" s="342">
        <f>SUM(AK10)</f>
        <v>312000</v>
      </c>
      <c r="CN10" s="350">
        <f>SUM($AH10)</f>
        <v>49000</v>
      </c>
      <c r="CO10" s="351">
        <f>SUM(CM10,CN10)</f>
        <v>361000</v>
      </c>
      <c r="CP10" s="342">
        <v>0</v>
      </c>
      <c r="CQ10" s="350">
        <f>SUM($AH10)</f>
        <v>49000</v>
      </c>
      <c r="CR10" s="351">
        <f>SUM(CP10,CQ10)</f>
        <v>49000</v>
      </c>
      <c r="CS10" s="342">
        <v>0</v>
      </c>
      <c r="CT10" s="350">
        <f>SUM($AH10)</f>
        <v>49000</v>
      </c>
      <c r="CU10" s="351">
        <f>SUM(CS10,CT10)</f>
        <v>49000</v>
      </c>
      <c r="CV10" s="342">
        <v>0</v>
      </c>
      <c r="CW10" s="350">
        <f>SUM($AH10)</f>
        <v>49000</v>
      </c>
      <c r="CX10" s="351">
        <f>SUM(CV10,CW10)</f>
        <v>49000</v>
      </c>
    </row>
    <row r="11" spans="1:102">
      <c r="A11" s="354" t="s">
        <v>262</v>
      </c>
      <c r="B11" s="355">
        <f t="shared" ref="B11:AD11" si="3">SUM(B6,B7,B9,B10)</f>
        <v>0</v>
      </c>
      <c r="C11" s="356">
        <f t="shared" si="3"/>
        <v>0</v>
      </c>
      <c r="D11" s="357">
        <f t="shared" si="3"/>
        <v>0</v>
      </c>
      <c r="E11" s="356">
        <f t="shared" si="3"/>
        <v>4200000</v>
      </c>
      <c r="F11" s="357">
        <f t="shared" si="3"/>
        <v>1815462</v>
      </c>
      <c r="G11" s="356">
        <f t="shared" si="3"/>
        <v>0</v>
      </c>
      <c r="H11" s="357">
        <f t="shared" si="3"/>
        <v>0</v>
      </c>
      <c r="I11" s="356">
        <f t="shared" si="3"/>
        <v>0</v>
      </c>
      <c r="J11" s="357">
        <f t="shared" si="3"/>
        <v>42268</v>
      </c>
      <c r="K11" s="358">
        <f t="shared" si="3"/>
        <v>0</v>
      </c>
      <c r="L11" s="359">
        <f t="shared" si="3"/>
        <v>288074</v>
      </c>
      <c r="M11" s="356">
        <f t="shared" si="3"/>
        <v>324000</v>
      </c>
      <c r="N11" s="357">
        <f t="shared" si="3"/>
        <v>212100</v>
      </c>
      <c r="O11" s="358">
        <f t="shared" si="3"/>
        <v>324000</v>
      </c>
      <c r="P11" s="359">
        <f t="shared" si="3"/>
        <v>195800</v>
      </c>
      <c r="Q11" s="356">
        <f t="shared" si="3"/>
        <v>324000</v>
      </c>
      <c r="R11" s="357">
        <f t="shared" si="3"/>
        <v>179500</v>
      </c>
      <c r="S11" s="358">
        <f t="shared" si="3"/>
        <v>324000</v>
      </c>
      <c r="T11" s="359">
        <f t="shared" si="3"/>
        <v>163200</v>
      </c>
      <c r="U11" s="356">
        <f t="shared" si="3"/>
        <v>324000</v>
      </c>
      <c r="V11" s="357">
        <f t="shared" si="3"/>
        <v>146900</v>
      </c>
      <c r="W11" s="358">
        <f t="shared" si="3"/>
        <v>324000</v>
      </c>
      <c r="X11" s="359">
        <f t="shared" si="3"/>
        <v>130600</v>
      </c>
      <c r="Y11" s="356">
        <f t="shared" si="3"/>
        <v>324000</v>
      </c>
      <c r="Z11" s="357">
        <f t="shared" si="3"/>
        <v>114200</v>
      </c>
      <c r="AA11" s="358">
        <f t="shared" si="3"/>
        <v>324000</v>
      </c>
      <c r="AB11" s="359">
        <f t="shared" si="3"/>
        <v>97900</v>
      </c>
      <c r="AC11" s="356">
        <f t="shared" si="3"/>
        <v>324000</v>
      </c>
      <c r="AD11" s="357">
        <f t="shared" si="3"/>
        <v>81600</v>
      </c>
      <c r="AE11" s="358">
        <f t="shared" ref="AE11:AR11" si="4">SUM(AE6,AE7,AE9,AE10)</f>
        <v>324000</v>
      </c>
      <c r="AF11" s="357">
        <f t="shared" si="4"/>
        <v>65300</v>
      </c>
      <c r="AG11" s="358">
        <f t="shared" si="4"/>
        <v>324000</v>
      </c>
      <c r="AH11" s="360">
        <f t="shared" si="4"/>
        <v>49000</v>
      </c>
      <c r="AI11" s="358">
        <f t="shared" si="4"/>
        <v>324000</v>
      </c>
      <c r="AJ11" s="360">
        <f t="shared" si="4"/>
        <v>32700</v>
      </c>
      <c r="AK11" s="358">
        <f t="shared" si="4"/>
        <v>312000</v>
      </c>
      <c r="AL11" s="360">
        <f t="shared" si="4"/>
        <v>16320</v>
      </c>
      <c r="AM11" s="358">
        <f t="shared" si="4"/>
        <v>0</v>
      </c>
      <c r="AN11" s="360">
        <f t="shared" si="4"/>
        <v>0</v>
      </c>
      <c r="AO11" s="358">
        <f t="shared" si="4"/>
        <v>0</v>
      </c>
      <c r="AP11" s="360">
        <f t="shared" si="4"/>
        <v>0</v>
      </c>
      <c r="AQ11" s="358">
        <f t="shared" si="4"/>
        <v>0</v>
      </c>
      <c r="AR11" s="360">
        <f t="shared" si="4"/>
        <v>0</v>
      </c>
      <c r="AS11" s="192"/>
      <c r="AT11" s="192"/>
      <c r="AU11" s="361" t="s">
        <v>262</v>
      </c>
      <c r="AV11" s="362">
        <f>SUM(AV6,AV7,AV9,AV10)</f>
        <v>0</v>
      </c>
      <c r="AW11" s="363">
        <f>SUM(AW6:AW10)</f>
        <v>0</v>
      </c>
      <c r="AX11" s="364">
        <f t="shared" ref="AX11:CI11" si="5">SUM(AX6:AX10)</f>
        <v>0</v>
      </c>
      <c r="AY11" s="365">
        <f t="shared" si="5"/>
        <v>0</v>
      </c>
      <c r="AZ11" s="363">
        <f t="shared" si="5"/>
        <v>592000</v>
      </c>
      <c r="BA11" s="364">
        <f t="shared" si="5"/>
        <v>1724174</v>
      </c>
      <c r="BB11" s="365">
        <f t="shared" si="5"/>
        <v>2316174</v>
      </c>
      <c r="BC11" s="363">
        <f t="shared" si="5"/>
        <v>4200000</v>
      </c>
      <c r="BD11" s="364">
        <f t="shared" si="5"/>
        <v>1436100</v>
      </c>
      <c r="BE11" s="365">
        <f t="shared" si="5"/>
        <v>5636100</v>
      </c>
      <c r="BF11" s="363">
        <f t="shared" si="5"/>
        <v>3876000</v>
      </c>
      <c r="BG11" s="364">
        <f t="shared" si="5"/>
        <v>1224000</v>
      </c>
      <c r="BH11" s="365">
        <f t="shared" si="5"/>
        <v>5100000</v>
      </c>
      <c r="BI11" s="363">
        <f t="shared" si="5"/>
        <v>3552000</v>
      </c>
      <c r="BJ11" s="364">
        <f t="shared" si="5"/>
        <v>1028200</v>
      </c>
      <c r="BK11" s="365">
        <f t="shared" si="5"/>
        <v>4580200</v>
      </c>
      <c r="BL11" s="363">
        <f t="shared" si="5"/>
        <v>3228000</v>
      </c>
      <c r="BM11" s="364">
        <f t="shared" si="5"/>
        <v>848700</v>
      </c>
      <c r="BN11" s="365">
        <f t="shared" si="5"/>
        <v>4076700</v>
      </c>
      <c r="BO11" s="363">
        <f t="shared" si="5"/>
        <v>2904000</v>
      </c>
      <c r="BP11" s="364">
        <f t="shared" si="5"/>
        <v>685500</v>
      </c>
      <c r="BQ11" s="365">
        <f t="shared" si="5"/>
        <v>3589500</v>
      </c>
      <c r="BR11" s="363">
        <f t="shared" si="5"/>
        <v>2580000</v>
      </c>
      <c r="BS11" s="364">
        <f t="shared" si="5"/>
        <v>538600</v>
      </c>
      <c r="BT11" s="365">
        <f t="shared" si="5"/>
        <v>3118600</v>
      </c>
      <c r="BU11" s="363">
        <f t="shared" si="5"/>
        <v>2256000</v>
      </c>
      <c r="BV11" s="364">
        <f t="shared" si="5"/>
        <v>408000</v>
      </c>
      <c r="BW11" s="365">
        <f t="shared" si="5"/>
        <v>2664000</v>
      </c>
      <c r="BX11" s="363">
        <f t="shared" si="5"/>
        <v>1932000</v>
      </c>
      <c r="BY11" s="364">
        <f t="shared" si="5"/>
        <v>293800</v>
      </c>
      <c r="BZ11" s="365">
        <f t="shared" si="5"/>
        <v>2225800</v>
      </c>
      <c r="CA11" s="363">
        <f t="shared" si="5"/>
        <v>1608000</v>
      </c>
      <c r="CB11" s="364">
        <f t="shared" si="5"/>
        <v>195900</v>
      </c>
      <c r="CC11" s="365">
        <f t="shared" si="5"/>
        <v>1803900</v>
      </c>
      <c r="CD11" s="363">
        <f t="shared" si="5"/>
        <v>1284000</v>
      </c>
      <c r="CE11" s="364">
        <f t="shared" si="5"/>
        <v>114300</v>
      </c>
      <c r="CF11" s="365">
        <f t="shared" si="5"/>
        <v>1398300</v>
      </c>
      <c r="CG11" s="363">
        <f t="shared" si="5"/>
        <v>960000</v>
      </c>
      <c r="CH11" s="364">
        <f t="shared" si="5"/>
        <v>49000</v>
      </c>
      <c r="CI11" s="365">
        <f t="shared" si="5"/>
        <v>1009000</v>
      </c>
      <c r="CJ11" s="766">
        <f t="shared" ref="CJ11:CL11" si="6">SUM(CJ6:CJ10)</f>
        <v>636000</v>
      </c>
      <c r="CK11" s="364">
        <f t="shared" si="6"/>
        <v>49000</v>
      </c>
      <c r="CL11" s="365">
        <f t="shared" si="6"/>
        <v>685000</v>
      </c>
      <c r="CM11" s="766">
        <f t="shared" ref="CM11:CX11" si="7">SUM(CM6:CM10)</f>
        <v>312000</v>
      </c>
      <c r="CN11" s="364">
        <f t="shared" si="7"/>
        <v>49000</v>
      </c>
      <c r="CO11" s="365">
        <f t="shared" si="7"/>
        <v>361000</v>
      </c>
      <c r="CP11" s="766">
        <f t="shared" si="7"/>
        <v>0</v>
      </c>
      <c r="CQ11" s="364">
        <f t="shared" si="7"/>
        <v>49000</v>
      </c>
      <c r="CR11" s="365">
        <f t="shared" si="7"/>
        <v>49000</v>
      </c>
      <c r="CS11" s="766">
        <f t="shared" si="7"/>
        <v>0</v>
      </c>
      <c r="CT11" s="364">
        <f t="shared" si="7"/>
        <v>49000</v>
      </c>
      <c r="CU11" s="365">
        <f t="shared" si="7"/>
        <v>49000</v>
      </c>
      <c r="CV11" s="766">
        <f t="shared" si="7"/>
        <v>0</v>
      </c>
      <c r="CW11" s="364">
        <f t="shared" si="7"/>
        <v>49000</v>
      </c>
      <c r="CX11" s="365">
        <f t="shared" si="7"/>
        <v>49000</v>
      </c>
    </row>
    <row r="12" spans="1:102" ht="13.5">
      <c r="A12" s="366"/>
      <c r="B12" s="367" t="s">
        <v>263</v>
      </c>
      <c r="C12" s="1723">
        <f>SUM(C11,D11)</f>
        <v>0</v>
      </c>
      <c r="D12" s="1724"/>
      <c r="E12" s="1723">
        <f>SUM(E11,F11)</f>
        <v>6015462</v>
      </c>
      <c r="F12" s="1724"/>
      <c r="G12" s="1723">
        <f>SUM(G11,H11)</f>
        <v>0</v>
      </c>
      <c r="H12" s="1724"/>
      <c r="I12" s="1723">
        <f>SUM(I11,J11)</f>
        <v>42268</v>
      </c>
      <c r="J12" s="1724"/>
      <c r="K12" s="1721">
        <f>SUM(K11,L11)</f>
        <v>288074</v>
      </c>
      <c r="L12" s="1722"/>
      <c r="M12" s="1723">
        <f>SUM(M11,N11)</f>
        <v>536100</v>
      </c>
      <c r="N12" s="1724"/>
      <c r="O12" s="1721">
        <f>SUM(O11,P11)</f>
        <v>519800</v>
      </c>
      <c r="P12" s="1722"/>
      <c r="Q12" s="1723">
        <f>SUM(Q11,R11)</f>
        <v>503500</v>
      </c>
      <c r="R12" s="1724"/>
      <c r="S12" s="1721">
        <f>SUM(S11,T11)</f>
        <v>487200</v>
      </c>
      <c r="T12" s="1722"/>
      <c r="U12" s="1723">
        <f>SUM(U11,V11)</f>
        <v>470900</v>
      </c>
      <c r="V12" s="1724"/>
      <c r="W12" s="1721">
        <f>SUM(W11,X11)</f>
        <v>454600</v>
      </c>
      <c r="X12" s="1722"/>
      <c r="Y12" s="1723">
        <f>SUM(Y11,Z11)</f>
        <v>438200</v>
      </c>
      <c r="Z12" s="1724"/>
      <c r="AA12" s="1721">
        <f>SUM(AA11,AB11)</f>
        <v>421900</v>
      </c>
      <c r="AB12" s="1722"/>
      <c r="AC12" s="1723">
        <f>SUM(AC11,AD11)</f>
        <v>405600</v>
      </c>
      <c r="AD12" s="1724"/>
      <c r="AE12" s="1721">
        <f>SUM(AE11,AF11)</f>
        <v>389300</v>
      </c>
      <c r="AF12" s="1724"/>
      <c r="AG12" s="1721">
        <f>SUM(AG11,AH11)</f>
        <v>373000</v>
      </c>
      <c r="AH12" s="1725"/>
      <c r="AI12" s="1721">
        <f>SUM(AI11,AJ11)</f>
        <v>356700</v>
      </c>
      <c r="AJ12" s="1725"/>
      <c r="AK12" s="1721">
        <f>SUM(AK11,AL11)</f>
        <v>328320</v>
      </c>
      <c r="AL12" s="1725"/>
      <c r="AM12" s="1721">
        <f>SUM(AM11,AN11)</f>
        <v>0</v>
      </c>
      <c r="AN12" s="1725"/>
      <c r="AO12" s="1721">
        <f>SUM(AO11,AP11)</f>
        <v>0</v>
      </c>
      <c r="AP12" s="1725"/>
      <c r="AQ12" s="1721">
        <f>SUM(AQ11,AR11)</f>
        <v>0</v>
      </c>
      <c r="AR12" s="1725"/>
      <c r="AS12" s="192"/>
      <c r="AT12" s="192"/>
      <c r="AU12" s="368"/>
      <c r="AV12" s="368"/>
      <c r="AW12" s="1708"/>
      <c r="AX12" s="1709"/>
      <c r="AY12" s="1710"/>
      <c r="AZ12" s="1708"/>
      <c r="BA12" s="1709"/>
      <c r="BB12" s="1710"/>
      <c r="BC12" s="1708"/>
      <c r="BD12" s="1709"/>
      <c r="BE12" s="1710"/>
      <c r="BF12" s="1708"/>
      <c r="BG12" s="1709"/>
      <c r="BH12" s="1710"/>
      <c r="BI12" s="1708"/>
      <c r="BJ12" s="1709"/>
      <c r="BK12" s="1710"/>
      <c r="BL12" s="1708"/>
      <c r="BM12" s="1709"/>
      <c r="BN12" s="1710"/>
      <c r="BO12" s="1708"/>
      <c r="BP12" s="1709"/>
      <c r="BQ12" s="1710"/>
      <c r="BR12" s="1708"/>
      <c r="BS12" s="1709"/>
      <c r="BT12" s="1710"/>
      <c r="BU12" s="1708"/>
      <c r="BV12" s="1709"/>
      <c r="BW12" s="1710"/>
      <c r="BX12" s="1708"/>
      <c r="BY12" s="1709"/>
      <c r="BZ12" s="1710"/>
      <c r="CA12" s="1708"/>
      <c r="CB12" s="1709"/>
      <c r="CC12" s="1710"/>
      <c r="CD12" s="1708"/>
      <c r="CE12" s="1709"/>
      <c r="CF12" s="1710"/>
      <c r="CG12" s="1708"/>
      <c r="CH12" s="1709"/>
      <c r="CI12" s="1710"/>
      <c r="CJ12" s="1708"/>
      <c r="CK12" s="1709"/>
      <c r="CL12" s="1710"/>
      <c r="CM12" s="1708"/>
      <c r="CN12" s="1709"/>
      <c r="CO12" s="1710"/>
      <c r="CP12" s="1708"/>
      <c r="CQ12" s="1709"/>
      <c r="CR12" s="1710"/>
      <c r="CS12" s="1708"/>
      <c r="CT12" s="1709"/>
      <c r="CU12" s="1710"/>
      <c r="CV12" s="1708"/>
      <c r="CW12" s="1709"/>
      <c r="CX12" s="1710"/>
    </row>
    <row r="13" spans="1:102">
      <c r="A13" s="687" t="s">
        <v>264</v>
      </c>
      <c r="B13" s="369" t="s">
        <v>265</v>
      </c>
      <c r="C13" s="370" t="s">
        <v>258</v>
      </c>
      <c r="D13" s="371" t="s">
        <v>259</v>
      </c>
      <c r="E13" s="370" t="s">
        <v>258</v>
      </c>
      <c r="F13" s="371" t="s">
        <v>259</v>
      </c>
      <c r="G13" s="370" t="s">
        <v>258</v>
      </c>
      <c r="H13" s="371" t="s">
        <v>259</v>
      </c>
      <c r="I13" s="370" t="s">
        <v>258</v>
      </c>
      <c r="J13" s="371" t="s">
        <v>259</v>
      </c>
      <c r="K13" s="372" t="s">
        <v>258</v>
      </c>
      <c r="L13" s="369" t="s">
        <v>259</v>
      </c>
      <c r="M13" s="370" t="s">
        <v>258</v>
      </c>
      <c r="N13" s="371" t="s">
        <v>259</v>
      </c>
      <c r="O13" s="372" t="s">
        <v>258</v>
      </c>
      <c r="P13" s="369" t="s">
        <v>259</v>
      </c>
      <c r="Q13" s="370" t="s">
        <v>258</v>
      </c>
      <c r="R13" s="371" t="s">
        <v>259</v>
      </c>
      <c r="S13" s="372" t="s">
        <v>258</v>
      </c>
      <c r="T13" s="369" t="s">
        <v>259</v>
      </c>
      <c r="U13" s="370" t="s">
        <v>258</v>
      </c>
      <c r="V13" s="371" t="s">
        <v>259</v>
      </c>
      <c r="W13" s="372" t="s">
        <v>258</v>
      </c>
      <c r="X13" s="369" t="s">
        <v>259</v>
      </c>
      <c r="Y13" s="370" t="s">
        <v>258</v>
      </c>
      <c r="Z13" s="371" t="s">
        <v>259</v>
      </c>
      <c r="AA13" s="372" t="s">
        <v>258</v>
      </c>
      <c r="AB13" s="369" t="s">
        <v>259</v>
      </c>
      <c r="AC13" s="370" t="s">
        <v>258</v>
      </c>
      <c r="AD13" s="371" t="s">
        <v>259</v>
      </c>
      <c r="AE13" s="372" t="s">
        <v>258</v>
      </c>
      <c r="AF13" s="371" t="s">
        <v>259</v>
      </c>
      <c r="AG13" s="372" t="s">
        <v>258</v>
      </c>
      <c r="AH13" s="373" t="s">
        <v>259</v>
      </c>
      <c r="AI13" s="372" t="s">
        <v>258</v>
      </c>
      <c r="AJ13" s="373" t="s">
        <v>259</v>
      </c>
      <c r="AK13" s="372" t="s">
        <v>258</v>
      </c>
      <c r="AL13" s="373" t="s">
        <v>259</v>
      </c>
      <c r="AM13" s="372" t="s">
        <v>258</v>
      </c>
      <c r="AN13" s="373" t="s">
        <v>259</v>
      </c>
      <c r="AO13" s="372" t="s">
        <v>258</v>
      </c>
      <c r="AP13" s="373" t="s">
        <v>259</v>
      </c>
      <c r="AQ13" s="372" t="s">
        <v>258</v>
      </c>
      <c r="AR13" s="373" t="s">
        <v>259</v>
      </c>
      <c r="AS13" s="192"/>
      <c r="AT13" s="192"/>
      <c r="AU13" s="368" t="s">
        <v>264</v>
      </c>
      <c r="AV13" s="361" t="s">
        <v>265</v>
      </c>
      <c r="AW13" s="337" t="s">
        <v>258</v>
      </c>
      <c r="AX13" s="338" t="s">
        <v>259</v>
      </c>
      <c r="AY13" s="339" t="s">
        <v>260</v>
      </c>
      <c r="AZ13" s="337" t="s">
        <v>258</v>
      </c>
      <c r="BA13" s="338" t="s">
        <v>259</v>
      </c>
      <c r="BB13" s="339" t="s">
        <v>260</v>
      </c>
      <c r="BC13" s="337" t="s">
        <v>258</v>
      </c>
      <c r="BD13" s="338" t="s">
        <v>259</v>
      </c>
      <c r="BE13" s="339" t="s">
        <v>260</v>
      </c>
      <c r="BF13" s="337" t="s">
        <v>258</v>
      </c>
      <c r="BG13" s="338" t="s">
        <v>259</v>
      </c>
      <c r="BH13" s="339" t="s">
        <v>260</v>
      </c>
      <c r="BI13" s="337" t="s">
        <v>258</v>
      </c>
      <c r="BJ13" s="338" t="s">
        <v>259</v>
      </c>
      <c r="BK13" s="339" t="s">
        <v>260</v>
      </c>
      <c r="BL13" s="337" t="s">
        <v>258</v>
      </c>
      <c r="BM13" s="338" t="s">
        <v>259</v>
      </c>
      <c r="BN13" s="339" t="s">
        <v>260</v>
      </c>
      <c r="BO13" s="337" t="s">
        <v>258</v>
      </c>
      <c r="BP13" s="338" t="s">
        <v>259</v>
      </c>
      <c r="BQ13" s="339" t="s">
        <v>260</v>
      </c>
      <c r="BR13" s="337" t="s">
        <v>258</v>
      </c>
      <c r="BS13" s="338" t="s">
        <v>259</v>
      </c>
      <c r="BT13" s="339" t="s">
        <v>260</v>
      </c>
      <c r="BU13" s="337" t="s">
        <v>258</v>
      </c>
      <c r="BV13" s="338" t="s">
        <v>259</v>
      </c>
      <c r="BW13" s="339" t="s">
        <v>260</v>
      </c>
      <c r="BX13" s="337" t="s">
        <v>258</v>
      </c>
      <c r="BY13" s="338" t="s">
        <v>259</v>
      </c>
      <c r="BZ13" s="339" t="s">
        <v>260</v>
      </c>
      <c r="CA13" s="337" t="s">
        <v>258</v>
      </c>
      <c r="CB13" s="338" t="s">
        <v>259</v>
      </c>
      <c r="CC13" s="339" t="s">
        <v>260</v>
      </c>
      <c r="CD13" s="337" t="s">
        <v>258</v>
      </c>
      <c r="CE13" s="338" t="s">
        <v>259</v>
      </c>
      <c r="CF13" s="339" t="s">
        <v>260</v>
      </c>
      <c r="CG13" s="337" t="s">
        <v>258</v>
      </c>
      <c r="CH13" s="338" t="s">
        <v>259</v>
      </c>
      <c r="CI13" s="339" t="s">
        <v>260</v>
      </c>
      <c r="CJ13" s="337" t="s">
        <v>258</v>
      </c>
      <c r="CK13" s="338" t="s">
        <v>259</v>
      </c>
      <c r="CL13" s="339" t="s">
        <v>260</v>
      </c>
      <c r="CM13" s="337" t="s">
        <v>258</v>
      </c>
      <c r="CN13" s="338" t="s">
        <v>259</v>
      </c>
      <c r="CO13" s="339" t="s">
        <v>260</v>
      </c>
      <c r="CP13" s="337" t="s">
        <v>258</v>
      </c>
      <c r="CQ13" s="338" t="s">
        <v>259</v>
      </c>
      <c r="CR13" s="339" t="s">
        <v>260</v>
      </c>
      <c r="CS13" s="337" t="s">
        <v>258</v>
      </c>
      <c r="CT13" s="338" t="s">
        <v>259</v>
      </c>
      <c r="CU13" s="339" t="s">
        <v>260</v>
      </c>
      <c r="CV13" s="337" t="s">
        <v>258</v>
      </c>
      <c r="CW13" s="338" t="s">
        <v>259</v>
      </c>
      <c r="CX13" s="339" t="s">
        <v>260</v>
      </c>
    </row>
    <row r="14" spans="1:102">
      <c r="A14" s="374" t="str">
        <f>'HSZ do groszy'!A14</f>
        <v>WFOŚiGW 19/2004/76/OA/no/P</v>
      </c>
      <c r="B14" s="375">
        <f>ROUNDUP('HSZ do groszy'!B14,0)</f>
        <v>518029</v>
      </c>
      <c r="C14" s="376">
        <f>ROUNDUP('HSZ do groszy'!C14,0)</f>
        <v>57559</v>
      </c>
      <c r="D14" s="377">
        <f>ROUNDUP('HSZ do groszy'!D14,0)</f>
        <v>2863</v>
      </c>
      <c r="E14" s="376">
        <f t="shared" ref="E14:E24" si="8">G14+I14+K14+M14+O14+Q14+S14+U14+W14+Y14+AA14+AC14+AE14+AG14</f>
        <v>115116</v>
      </c>
      <c r="F14" s="377">
        <f t="shared" ref="F14:F24" si="9">H14+J14+L14+N14+P14+R14+T14+V14+X14+Z14+AB14+AD14+AF14+AH14</f>
        <v>1734</v>
      </c>
      <c r="G14" s="376">
        <f>ROUNDUP('HSZ do groszy'!G14,0)</f>
        <v>57559</v>
      </c>
      <c r="H14" s="377">
        <f>ROUNDUP('HSZ do groszy'!H14,0)</f>
        <v>1267</v>
      </c>
      <c r="I14" s="376">
        <f>ROUNDUP('HSZ do groszy'!I14,0)</f>
        <v>57557</v>
      </c>
      <c r="J14" s="377">
        <f>ROUNDUP('HSZ do groszy'!J14,0)</f>
        <v>467</v>
      </c>
      <c r="K14" s="378">
        <f>ROUNDUP('HSZ do groszy'!K14,0)</f>
        <v>0</v>
      </c>
      <c r="L14" s="379">
        <f>ROUNDUP('HSZ do groszy'!L14,0)</f>
        <v>0</v>
      </c>
      <c r="M14" s="376">
        <f>ROUNDUP('HSZ do groszy'!M14,0)</f>
        <v>0</v>
      </c>
      <c r="N14" s="377">
        <f>ROUNDUP('HSZ do groszy'!N14,0)</f>
        <v>0</v>
      </c>
      <c r="O14" s="378">
        <f>ROUNDUP('HSZ do groszy'!O14,0)</f>
        <v>0</v>
      </c>
      <c r="P14" s="379">
        <f>ROUNDUP('HSZ do groszy'!P14,0)</f>
        <v>0</v>
      </c>
      <c r="Q14" s="376">
        <f>ROUNDUP('HSZ do groszy'!Q14,0)</f>
        <v>0</v>
      </c>
      <c r="R14" s="377">
        <f>ROUNDUP('HSZ do groszy'!R14,0)</f>
        <v>0</v>
      </c>
      <c r="S14" s="378">
        <f>ROUNDUP('HSZ do groszy'!S14,0)</f>
        <v>0</v>
      </c>
      <c r="T14" s="379">
        <f>ROUNDUP('HSZ do groszy'!T14,0)</f>
        <v>0</v>
      </c>
      <c r="U14" s="376">
        <f>ROUNDUP('HSZ do groszy'!U14,0)</f>
        <v>0</v>
      </c>
      <c r="V14" s="377">
        <f>ROUNDUP('HSZ do groszy'!V14,0)</f>
        <v>0</v>
      </c>
      <c r="W14" s="378">
        <f>ROUNDUP('HSZ do groszy'!W14,0)</f>
        <v>0</v>
      </c>
      <c r="X14" s="379">
        <f>ROUNDUP('HSZ do groszy'!X14,0)</f>
        <v>0</v>
      </c>
      <c r="Y14" s="376">
        <f>ROUNDUP('HSZ do groszy'!Y14,0)</f>
        <v>0</v>
      </c>
      <c r="Z14" s="377">
        <f>ROUNDUP('HSZ do groszy'!Z14,0)</f>
        <v>0</v>
      </c>
      <c r="AA14" s="378">
        <f>ROUNDUP('HSZ do groszy'!AA14,0)</f>
        <v>0</v>
      </c>
      <c r="AB14" s="379">
        <f>ROUNDUP('HSZ do groszy'!AB14,0)</f>
        <v>0</v>
      </c>
      <c r="AC14" s="376">
        <f>ROUNDUP('HSZ do groszy'!AC14,0)</f>
        <v>0</v>
      </c>
      <c r="AD14" s="377">
        <f>ROUNDUP('HSZ do groszy'!AD14,0)</f>
        <v>0</v>
      </c>
      <c r="AE14" s="378">
        <f>ROUNDUP('HSZ do groszy'!AE14,0)</f>
        <v>0</v>
      </c>
      <c r="AF14" s="377">
        <f>ROUNDUP('HSZ do groszy'!AF14,0)</f>
        <v>0</v>
      </c>
      <c r="AG14" s="378">
        <f>ROUNDUP('HSZ do groszy'!AG14,0)</f>
        <v>0</v>
      </c>
      <c r="AH14" s="380">
        <f>ROUNDUP('HSZ do groszy'!AH14,0)</f>
        <v>0</v>
      </c>
      <c r="AI14" s="378">
        <f>ROUNDUP('HSZ do groszy'!AI14,0)</f>
        <v>0</v>
      </c>
      <c r="AJ14" s="380">
        <f>ROUNDUP('HSZ do groszy'!AJ14,0)</f>
        <v>0</v>
      </c>
      <c r="AK14" s="378">
        <f>ROUNDUP('HSZ do groszy'!AK14,0)</f>
        <v>0</v>
      </c>
      <c r="AL14" s="380">
        <f>ROUNDUP('HSZ do groszy'!AL14,0)</f>
        <v>0</v>
      </c>
      <c r="AM14" s="378">
        <f>ROUNDUP('HSZ do groszy'!AM14,0)</f>
        <v>0</v>
      </c>
      <c r="AN14" s="380">
        <f>ROUNDUP('HSZ do groszy'!AN14,0)</f>
        <v>0</v>
      </c>
      <c r="AO14" s="378">
        <f>ROUNDUP('HSZ do groszy'!AO14,0)</f>
        <v>0</v>
      </c>
      <c r="AP14" s="380">
        <f>ROUNDUP('HSZ do groszy'!AP14,0)</f>
        <v>0</v>
      </c>
      <c r="AQ14" s="378">
        <f>ROUNDUP('HSZ do groszy'!AQ14,0)</f>
        <v>0</v>
      </c>
      <c r="AR14" s="380">
        <f>ROUNDUP('HSZ do groszy'!AR14,0)</f>
        <v>0</v>
      </c>
      <c r="AS14" s="192"/>
      <c r="AT14" s="192"/>
      <c r="AU14" s="381" t="str">
        <f t="shared" ref="AU14:AV26" si="10">A14</f>
        <v>WFOŚiGW 19/2004/76/OA/no/P</v>
      </c>
      <c r="AV14" s="382">
        <f t="shared" si="10"/>
        <v>518029</v>
      </c>
      <c r="AW14" s="383">
        <f t="shared" ref="AW14:AW26" si="11">SUM($I14,$K14,$M14,$O14,$Q14,$S14,$U14,$W14,$Y14,$AA14,$AC14,$AE14,$AG14)</f>
        <v>57557</v>
      </c>
      <c r="AX14" s="384">
        <f t="shared" ref="AX14:AX26" si="12">SUM($J14,$L14,$N14,$P14,$R14,$T14,$V14,$X14,$Z14,$AB14,$AD14,$AF14,$AH14)</f>
        <v>467</v>
      </c>
      <c r="AY14" s="385">
        <f t="shared" ref="AY14:AY26" si="13">SUM(AW14,AX14)</f>
        <v>58024</v>
      </c>
      <c r="AZ14" s="383">
        <f t="shared" ref="AZ14:AZ26" si="14">SUM($K14,$M14,$O14,$Q14,$S14,$U14,$W14,$Y14,$AA14,$AC14,$AE14,$AG14)</f>
        <v>0</v>
      </c>
      <c r="BA14" s="384">
        <f t="shared" ref="BA14:BA26" si="15">SUM($L14,$N14,$P14,$R14,$T14,$V14,$X14,$Z14,$AB14,$AD14,$AF14,$AH14)</f>
        <v>0</v>
      </c>
      <c r="BB14" s="385">
        <f t="shared" ref="BB14:BB26" si="16">SUM(AZ14,BA14)</f>
        <v>0</v>
      </c>
      <c r="BC14" s="383">
        <f t="shared" ref="BC14:BC26" si="17">SUM($M14,$O14,$Q14,$S14,$U14,$W14,$Y14,$AA14,$AC14,$AE14,$AG14)</f>
        <v>0</v>
      </c>
      <c r="BD14" s="384">
        <f t="shared" ref="BD14:BD26" si="18">SUM($N14,$P14,$R14,$T14,$V14,$X14,$Z14,$AB14,$AD14,$AF14,$AH14)</f>
        <v>0</v>
      </c>
      <c r="BE14" s="385">
        <f t="shared" ref="BE14:BE26" si="19">SUM(BC14,BD14)</f>
        <v>0</v>
      </c>
      <c r="BF14" s="383">
        <f t="shared" ref="BF14:BF28" si="20">SUM($O14,$Q14,$S14,$U14,$W14,$Y14,$AA14,$AC14,$AE14,$AG14)</f>
        <v>0</v>
      </c>
      <c r="BG14" s="384">
        <f t="shared" ref="BG14:BG28" si="21">SUM($P14,$R14,$T14,$V14,$X14,$Z14,$AB14,$AD14,$AF14,$AH14)</f>
        <v>0</v>
      </c>
      <c r="BH14" s="385">
        <f t="shared" ref="BH14:BH26" si="22">SUM(BF14,BG14)</f>
        <v>0</v>
      </c>
      <c r="BI14" s="383">
        <f t="shared" ref="BI14:BI28" si="23">SUM($Q14,$S14,$U14,$W14,$Y14,$AA14,$AC14,$AE14,$AG14)</f>
        <v>0</v>
      </c>
      <c r="BJ14" s="384">
        <f t="shared" ref="BJ14:BJ28" si="24">SUM($R14,$T14,$V14,$X14,$Z14,$AB14,$AD14,$AF14,$AH14)</f>
        <v>0</v>
      </c>
      <c r="BK14" s="385">
        <f t="shared" ref="BK14:BK26" si="25">SUM(BI14,BJ14)</f>
        <v>0</v>
      </c>
      <c r="BL14" s="383">
        <f t="shared" ref="BL14:BL28" si="26">SUM($S14,$U14,$W14,$Y14,$AA14,$AC14,$AE14,$AG14)</f>
        <v>0</v>
      </c>
      <c r="BM14" s="384">
        <f t="shared" ref="BM14:BM28" si="27">SUM($T14,$V14,$X14,$Z14,$AB14,$AD14,$AF14,$AH14)</f>
        <v>0</v>
      </c>
      <c r="BN14" s="385">
        <f t="shared" ref="BN14:BN28" si="28">SUM(BL14,BM14)</f>
        <v>0</v>
      </c>
      <c r="BO14" s="383">
        <f t="shared" ref="BO14:BO28" si="29">SUM($U14,$W14,$Y14,$AA14,$AC14,$AE14,$AG14)</f>
        <v>0</v>
      </c>
      <c r="BP14" s="384">
        <f t="shared" ref="BP14:BP28" si="30">SUM($V14,$X14,$Z14,$AB14,$AD14,$AF14,$AH14)</f>
        <v>0</v>
      </c>
      <c r="BQ14" s="385">
        <f t="shared" ref="BQ14:BQ28" si="31">SUM(BO14,BP14)</f>
        <v>0</v>
      </c>
      <c r="BR14" s="383">
        <f t="shared" ref="BR14:BR28" si="32">SUM($W14,$Y14,$AA14,$AC14,$AE14,$AG14)</f>
        <v>0</v>
      </c>
      <c r="BS14" s="384">
        <f t="shared" ref="BS14:BS28" si="33">SUM($X14,$Z14,$AB14,$AD14,$AF14,$AH14)</f>
        <v>0</v>
      </c>
      <c r="BT14" s="385">
        <f t="shared" ref="BT14:BT28" si="34">SUM(BR14,BS14)</f>
        <v>0</v>
      </c>
      <c r="BU14" s="383">
        <f t="shared" ref="BU14:BU28" si="35">SUM($Y14,$AA14,$AC14,$AE14,$AG14)</f>
        <v>0</v>
      </c>
      <c r="BV14" s="384">
        <f t="shared" ref="BV14:BV28" si="36">SUM($Z14,$AB14,$AD14,$AF14,$AH14)</f>
        <v>0</v>
      </c>
      <c r="BW14" s="385">
        <f t="shared" ref="BW14:BW28" si="37">SUM(BU14,BV14)</f>
        <v>0</v>
      </c>
      <c r="BX14" s="383">
        <f t="shared" ref="BX14:BX28" si="38">SUM($AA14,$AC14,$AE14,$AG14)</f>
        <v>0</v>
      </c>
      <c r="BY14" s="384">
        <f t="shared" ref="BY14:BY28" si="39">SUM($AB14,$AD14,$AF14,$AH14)</f>
        <v>0</v>
      </c>
      <c r="BZ14" s="385">
        <f t="shared" ref="BZ14:BZ28" si="40">SUM(BX14,BY14)</f>
        <v>0</v>
      </c>
      <c r="CA14" s="383">
        <f t="shared" ref="CA14:CA28" si="41">SUM($AC14,$AE14,$AG14)</f>
        <v>0</v>
      </c>
      <c r="CB14" s="384">
        <f t="shared" ref="CB14:CB28" si="42">SUM($AD14,$AF14,$AH14)</f>
        <v>0</v>
      </c>
      <c r="CC14" s="385">
        <f t="shared" ref="CC14:CC28" si="43">SUM(CA14,CB14)</f>
        <v>0</v>
      </c>
      <c r="CD14" s="383">
        <f t="shared" ref="CD14:CD28" si="44">SUM($AE14,$AG14)</f>
        <v>0</v>
      </c>
      <c r="CE14" s="384">
        <f t="shared" ref="CE14:CE28" si="45">SUM($AF14,$AH14)</f>
        <v>0</v>
      </c>
      <c r="CF14" s="385">
        <f t="shared" ref="CF14:CF28" si="46">SUM(CD14,CE14)</f>
        <v>0</v>
      </c>
      <c r="CG14" s="383">
        <f t="shared" ref="CG14:CG28" si="47">SUM($AG14)</f>
        <v>0</v>
      </c>
      <c r="CH14" s="384">
        <f t="shared" ref="CH14:CH28" si="48">SUM($AH14)</f>
        <v>0</v>
      </c>
      <c r="CI14" s="385">
        <f t="shared" ref="CI14:CI28" si="49">SUM(CG14,CH14)</f>
        <v>0</v>
      </c>
      <c r="CJ14" s="383">
        <f t="shared" ref="CJ14:CJ26" si="50">SUM($AG14)</f>
        <v>0</v>
      </c>
      <c r="CK14" s="384">
        <f t="shared" ref="CK14:CK26" si="51">SUM($AH14)</f>
        <v>0</v>
      </c>
      <c r="CL14" s="385">
        <f t="shared" ref="CL14:CL28" si="52">SUM(CJ14,CK14)</f>
        <v>0</v>
      </c>
      <c r="CM14" s="383">
        <f t="shared" ref="CM14:CM26" si="53">SUM($AG14)</f>
        <v>0</v>
      </c>
      <c r="CN14" s="384">
        <f t="shared" ref="CN14:CN26" si="54">SUM($AH14)</f>
        <v>0</v>
      </c>
      <c r="CO14" s="385">
        <f t="shared" ref="CO14:CO28" si="55">SUM(CM14,CN14)</f>
        <v>0</v>
      </c>
      <c r="CP14" s="383">
        <f t="shared" ref="CP14:CP26" si="56">SUM($AG14)</f>
        <v>0</v>
      </c>
      <c r="CQ14" s="384">
        <f t="shared" ref="CQ14:CQ26" si="57">SUM($AH14)</f>
        <v>0</v>
      </c>
      <c r="CR14" s="385">
        <f t="shared" ref="CR14:CR28" si="58">SUM(CP14,CQ14)</f>
        <v>0</v>
      </c>
      <c r="CS14" s="383">
        <f t="shared" ref="CS14:CS26" si="59">SUM($AG14)</f>
        <v>0</v>
      </c>
      <c r="CT14" s="384">
        <f t="shared" ref="CT14:CT26" si="60">SUM($AH14)</f>
        <v>0</v>
      </c>
      <c r="CU14" s="385">
        <f t="shared" ref="CU14:CU28" si="61">SUM(CS14,CT14)</f>
        <v>0</v>
      </c>
      <c r="CV14" s="383">
        <f t="shared" ref="CV14:CV26" si="62">SUM($AG14)</f>
        <v>0</v>
      </c>
      <c r="CW14" s="384">
        <f t="shared" ref="CW14:CW26" si="63">SUM($AH14)</f>
        <v>0</v>
      </c>
      <c r="CX14" s="385">
        <f t="shared" ref="CX14:CX28" si="64">SUM(CV14,CW14)</f>
        <v>0</v>
      </c>
    </row>
    <row r="15" spans="1:102">
      <c r="A15" s="374" t="str">
        <f>'HSZ do groszy'!A15</f>
        <v>WFOŚiGW 37/2005/76/OA/po/P</v>
      </c>
      <c r="B15" s="375">
        <f>ROUNDUP('HSZ do groszy'!B15,0)</f>
        <v>1498996</v>
      </c>
      <c r="C15" s="376">
        <f>ROUNDUP('HSZ do groszy'!C15,0)</f>
        <v>171911</v>
      </c>
      <c r="D15" s="377">
        <f>ROUNDUP('HSZ do groszy'!D15,0)</f>
        <v>33339</v>
      </c>
      <c r="E15" s="376">
        <f t="shared" si="8"/>
        <v>799416</v>
      </c>
      <c r="F15" s="377">
        <f t="shared" si="9"/>
        <v>50295</v>
      </c>
      <c r="G15" s="376">
        <f>ROUNDUP('HSZ do groszy'!G15,0)</f>
        <v>199880</v>
      </c>
      <c r="H15" s="377">
        <f>ROUNDUP('HSZ do groszy'!H15,0)</f>
        <v>21568</v>
      </c>
      <c r="I15" s="376">
        <f>ROUNDUP('HSZ do groszy'!I15,0)</f>
        <v>199880</v>
      </c>
      <c r="J15" s="377">
        <f>ROUNDUP('HSZ do groszy'!J15,0)</f>
        <v>15571</v>
      </c>
      <c r="K15" s="378">
        <f>ROUNDUP('HSZ do groszy'!K15,0)</f>
        <v>199880</v>
      </c>
      <c r="L15" s="379">
        <f>ROUNDUP('HSZ do groszy'!L15,0)</f>
        <v>9577</v>
      </c>
      <c r="M15" s="376">
        <f>ROUNDUP('HSZ do groszy'!M15,0)</f>
        <v>199776</v>
      </c>
      <c r="N15" s="377">
        <f>ROUNDUP('HSZ do groszy'!N15,0)</f>
        <v>3579</v>
      </c>
      <c r="O15" s="378">
        <f>ROUNDUP('HSZ do groszy'!O15,0)</f>
        <v>0</v>
      </c>
      <c r="P15" s="379">
        <f>ROUNDUP('HSZ do groszy'!P15,0)</f>
        <v>0</v>
      </c>
      <c r="Q15" s="376">
        <f>ROUNDUP('HSZ do groszy'!Q15,0)</f>
        <v>0</v>
      </c>
      <c r="R15" s="377">
        <f>ROUNDUP('HSZ do groszy'!R15,0)</f>
        <v>0</v>
      </c>
      <c r="S15" s="378">
        <f>ROUNDUP('HSZ do groszy'!S15,0)</f>
        <v>0</v>
      </c>
      <c r="T15" s="379">
        <f>ROUNDUP('HSZ do groszy'!T15,0)</f>
        <v>0</v>
      </c>
      <c r="U15" s="376">
        <f>ROUNDUP('HSZ do groszy'!U15,0)</f>
        <v>0</v>
      </c>
      <c r="V15" s="377">
        <f>ROUNDUP('HSZ do groszy'!V15,0)</f>
        <v>0</v>
      </c>
      <c r="W15" s="378">
        <f>ROUNDUP('HSZ do groszy'!W15,0)</f>
        <v>0</v>
      </c>
      <c r="X15" s="379">
        <f>ROUNDUP('HSZ do groszy'!X15,0)</f>
        <v>0</v>
      </c>
      <c r="Y15" s="376">
        <f>ROUNDUP('HSZ do groszy'!Y15,0)</f>
        <v>0</v>
      </c>
      <c r="Z15" s="377">
        <f>ROUNDUP('HSZ do groszy'!Z15,0)</f>
        <v>0</v>
      </c>
      <c r="AA15" s="378">
        <f>ROUNDUP('HSZ do groszy'!AA15,0)</f>
        <v>0</v>
      </c>
      <c r="AB15" s="379">
        <f>ROUNDUP('HSZ do groszy'!AB15,0)</f>
        <v>0</v>
      </c>
      <c r="AC15" s="376">
        <f>ROUNDUP('HSZ do groszy'!AC15,0)</f>
        <v>0</v>
      </c>
      <c r="AD15" s="377">
        <f>ROUNDUP('HSZ do groszy'!AD15,0)</f>
        <v>0</v>
      </c>
      <c r="AE15" s="378">
        <f>ROUNDUP('HSZ do groszy'!AE15,0)</f>
        <v>0</v>
      </c>
      <c r="AF15" s="377">
        <f>ROUNDUP('HSZ do groszy'!AF15,0)</f>
        <v>0</v>
      </c>
      <c r="AG15" s="378">
        <f>ROUNDUP('HSZ do groszy'!AG15,0)</f>
        <v>0</v>
      </c>
      <c r="AH15" s="380">
        <f>ROUNDUP('HSZ do groszy'!AH15,0)</f>
        <v>0</v>
      </c>
      <c r="AI15" s="378">
        <f>ROUNDUP('HSZ do groszy'!AI15,0)</f>
        <v>0</v>
      </c>
      <c r="AJ15" s="380">
        <f>ROUNDUP('HSZ do groszy'!AJ15,0)</f>
        <v>0</v>
      </c>
      <c r="AK15" s="378">
        <f>ROUNDUP('HSZ do groszy'!AK15,0)</f>
        <v>0</v>
      </c>
      <c r="AL15" s="380">
        <f>ROUNDUP('HSZ do groszy'!AL15,0)</f>
        <v>0</v>
      </c>
      <c r="AM15" s="378">
        <f>ROUNDUP('HSZ do groszy'!AM15,0)</f>
        <v>0</v>
      </c>
      <c r="AN15" s="380">
        <f>ROUNDUP('HSZ do groszy'!AN15,0)</f>
        <v>0</v>
      </c>
      <c r="AO15" s="378">
        <f>ROUNDUP('HSZ do groszy'!AO15,0)</f>
        <v>0</v>
      </c>
      <c r="AP15" s="380">
        <f>ROUNDUP('HSZ do groszy'!AP15,0)</f>
        <v>0</v>
      </c>
      <c r="AQ15" s="378">
        <f>ROUNDUP('HSZ do groszy'!AQ15,0)</f>
        <v>0</v>
      </c>
      <c r="AR15" s="380">
        <f>ROUNDUP('HSZ do groszy'!AR15,0)</f>
        <v>0</v>
      </c>
      <c r="AS15" s="192"/>
      <c r="AT15" s="192"/>
      <c r="AU15" s="381" t="str">
        <f t="shared" si="10"/>
        <v>WFOŚiGW 37/2005/76/OA/po/P</v>
      </c>
      <c r="AV15" s="382">
        <f t="shared" si="10"/>
        <v>1498996</v>
      </c>
      <c r="AW15" s="383">
        <f t="shared" si="11"/>
        <v>599536</v>
      </c>
      <c r="AX15" s="384">
        <f t="shared" si="12"/>
        <v>28727</v>
      </c>
      <c r="AY15" s="385">
        <f t="shared" si="13"/>
        <v>628263</v>
      </c>
      <c r="AZ15" s="383">
        <f t="shared" si="14"/>
        <v>399656</v>
      </c>
      <c r="BA15" s="384">
        <f t="shared" si="15"/>
        <v>13156</v>
      </c>
      <c r="BB15" s="385">
        <f t="shared" si="16"/>
        <v>412812</v>
      </c>
      <c r="BC15" s="383">
        <f t="shared" si="17"/>
        <v>199776</v>
      </c>
      <c r="BD15" s="384">
        <f t="shared" si="18"/>
        <v>3579</v>
      </c>
      <c r="BE15" s="385">
        <f t="shared" si="19"/>
        <v>203355</v>
      </c>
      <c r="BF15" s="383">
        <f t="shared" si="20"/>
        <v>0</v>
      </c>
      <c r="BG15" s="384">
        <f t="shared" si="21"/>
        <v>0</v>
      </c>
      <c r="BH15" s="385">
        <f t="shared" si="22"/>
        <v>0</v>
      </c>
      <c r="BI15" s="383">
        <f t="shared" si="23"/>
        <v>0</v>
      </c>
      <c r="BJ15" s="384">
        <f t="shared" si="24"/>
        <v>0</v>
      </c>
      <c r="BK15" s="385">
        <f t="shared" si="25"/>
        <v>0</v>
      </c>
      <c r="BL15" s="383">
        <f t="shared" si="26"/>
        <v>0</v>
      </c>
      <c r="BM15" s="384">
        <f t="shared" si="27"/>
        <v>0</v>
      </c>
      <c r="BN15" s="385">
        <f t="shared" si="28"/>
        <v>0</v>
      </c>
      <c r="BO15" s="383">
        <f t="shared" si="29"/>
        <v>0</v>
      </c>
      <c r="BP15" s="384">
        <f t="shared" si="30"/>
        <v>0</v>
      </c>
      <c r="BQ15" s="385">
        <f t="shared" si="31"/>
        <v>0</v>
      </c>
      <c r="BR15" s="383">
        <f t="shared" si="32"/>
        <v>0</v>
      </c>
      <c r="BS15" s="384">
        <f t="shared" si="33"/>
        <v>0</v>
      </c>
      <c r="BT15" s="385">
        <f t="shared" si="34"/>
        <v>0</v>
      </c>
      <c r="BU15" s="383">
        <f t="shared" si="35"/>
        <v>0</v>
      </c>
      <c r="BV15" s="384">
        <f t="shared" si="36"/>
        <v>0</v>
      </c>
      <c r="BW15" s="385">
        <f t="shared" si="37"/>
        <v>0</v>
      </c>
      <c r="BX15" s="383">
        <f t="shared" si="38"/>
        <v>0</v>
      </c>
      <c r="BY15" s="384">
        <f t="shared" si="39"/>
        <v>0</v>
      </c>
      <c r="BZ15" s="385">
        <f t="shared" si="40"/>
        <v>0</v>
      </c>
      <c r="CA15" s="383">
        <f t="shared" si="41"/>
        <v>0</v>
      </c>
      <c r="CB15" s="384">
        <f t="shared" si="42"/>
        <v>0</v>
      </c>
      <c r="CC15" s="385">
        <f t="shared" si="43"/>
        <v>0</v>
      </c>
      <c r="CD15" s="383">
        <f t="shared" si="44"/>
        <v>0</v>
      </c>
      <c r="CE15" s="384">
        <f t="shared" si="45"/>
        <v>0</v>
      </c>
      <c r="CF15" s="385">
        <f t="shared" si="46"/>
        <v>0</v>
      </c>
      <c r="CG15" s="383">
        <f t="shared" si="47"/>
        <v>0</v>
      </c>
      <c r="CH15" s="384">
        <f t="shared" si="48"/>
        <v>0</v>
      </c>
      <c r="CI15" s="385">
        <f t="shared" si="49"/>
        <v>0</v>
      </c>
      <c r="CJ15" s="383">
        <f t="shared" si="50"/>
        <v>0</v>
      </c>
      <c r="CK15" s="384">
        <f t="shared" si="51"/>
        <v>0</v>
      </c>
      <c r="CL15" s="385">
        <f t="shared" si="52"/>
        <v>0</v>
      </c>
      <c r="CM15" s="383">
        <f t="shared" si="53"/>
        <v>0</v>
      </c>
      <c r="CN15" s="384">
        <f t="shared" si="54"/>
        <v>0</v>
      </c>
      <c r="CO15" s="385">
        <f t="shared" si="55"/>
        <v>0</v>
      </c>
      <c r="CP15" s="383">
        <f t="shared" si="56"/>
        <v>0</v>
      </c>
      <c r="CQ15" s="384">
        <f t="shared" si="57"/>
        <v>0</v>
      </c>
      <c r="CR15" s="385">
        <f t="shared" si="58"/>
        <v>0</v>
      </c>
      <c r="CS15" s="383">
        <f t="shared" si="59"/>
        <v>0</v>
      </c>
      <c r="CT15" s="384">
        <f t="shared" si="60"/>
        <v>0</v>
      </c>
      <c r="CU15" s="385">
        <f t="shared" si="61"/>
        <v>0</v>
      </c>
      <c r="CV15" s="383">
        <f t="shared" si="62"/>
        <v>0</v>
      </c>
      <c r="CW15" s="384">
        <f t="shared" si="63"/>
        <v>0</v>
      </c>
      <c r="CX15" s="385">
        <f t="shared" si="64"/>
        <v>0</v>
      </c>
    </row>
    <row r="16" spans="1:102">
      <c r="A16" s="374" t="str">
        <f>'HSZ do groszy'!A16</f>
        <v>WFOŚiGW 52/2008/76/OZ/po/P</v>
      </c>
      <c r="B16" s="375">
        <f>ROUNDUP('HSZ do groszy'!B16,0)</f>
        <v>138349</v>
      </c>
      <c r="C16" s="376">
        <f>ROUNDUP('HSZ do groszy'!C16,0)</f>
        <v>15372</v>
      </c>
      <c r="D16" s="377">
        <f>ROUNDUP('HSZ do groszy'!D16,0)</f>
        <v>3861</v>
      </c>
      <c r="E16" s="376">
        <f t="shared" si="8"/>
        <v>103761</v>
      </c>
      <c r="F16" s="377">
        <f t="shared" si="9"/>
        <v>10899</v>
      </c>
      <c r="G16" s="376">
        <f>ROUNDUP('HSZ do groszy'!G16,0)</f>
        <v>15372</v>
      </c>
      <c r="H16" s="377">
        <f>ROUNDUP('HSZ do groszy'!H16,0)</f>
        <v>2940</v>
      </c>
      <c r="I16" s="376">
        <f>ROUNDUP('HSZ do groszy'!I16,0)</f>
        <v>15372</v>
      </c>
      <c r="J16" s="377">
        <f>ROUNDUP('HSZ do groszy'!J16,0)</f>
        <v>2479</v>
      </c>
      <c r="K16" s="378">
        <f>ROUNDUP('HSZ do groszy'!K16,0)</f>
        <v>15372</v>
      </c>
      <c r="L16" s="379">
        <f>ROUNDUP('HSZ do groszy'!L16,0)</f>
        <v>2019</v>
      </c>
      <c r="M16" s="376">
        <f>ROUNDUP('HSZ do groszy'!M16,0)</f>
        <v>15372</v>
      </c>
      <c r="N16" s="377">
        <f>ROUNDUP('HSZ do groszy'!N16,0)</f>
        <v>1557</v>
      </c>
      <c r="O16" s="378">
        <f>ROUNDUP('HSZ do groszy'!O16,0)</f>
        <v>15372</v>
      </c>
      <c r="P16" s="379">
        <f>ROUNDUP('HSZ do groszy'!P16,0)</f>
        <v>1096</v>
      </c>
      <c r="Q16" s="376">
        <f>ROUNDUP('HSZ do groszy'!Q16,0)</f>
        <v>15372</v>
      </c>
      <c r="R16" s="377">
        <f>ROUNDUP('HSZ do groszy'!R16,0)</f>
        <v>635</v>
      </c>
      <c r="S16" s="378">
        <f>ROUNDUP('HSZ do groszy'!S16,0)</f>
        <v>11529</v>
      </c>
      <c r="T16" s="379">
        <f>ROUNDUP('HSZ do groszy'!T16,0)</f>
        <v>173</v>
      </c>
      <c r="U16" s="376">
        <f>ROUNDUP('HSZ do groszy'!U16,0)</f>
        <v>0</v>
      </c>
      <c r="V16" s="377">
        <f>ROUNDUP('HSZ do groszy'!V16,0)</f>
        <v>0</v>
      </c>
      <c r="W16" s="378">
        <f>ROUNDUP('HSZ do groszy'!W16,0)</f>
        <v>0</v>
      </c>
      <c r="X16" s="379">
        <f>ROUNDUP('HSZ do groszy'!X16,0)</f>
        <v>0</v>
      </c>
      <c r="Y16" s="376">
        <f>ROUNDUP('HSZ do groszy'!Y16,0)</f>
        <v>0</v>
      </c>
      <c r="Z16" s="377">
        <f>ROUNDUP('HSZ do groszy'!Z16,0)</f>
        <v>0</v>
      </c>
      <c r="AA16" s="378">
        <f>ROUNDUP('HSZ do groszy'!AA16,0)</f>
        <v>0</v>
      </c>
      <c r="AB16" s="379">
        <f>ROUNDUP('HSZ do groszy'!AB16,0)</f>
        <v>0</v>
      </c>
      <c r="AC16" s="376">
        <f>ROUNDUP('HSZ do groszy'!AC16,0)</f>
        <v>0</v>
      </c>
      <c r="AD16" s="377">
        <f>ROUNDUP('HSZ do groszy'!AD16,0)</f>
        <v>0</v>
      </c>
      <c r="AE16" s="378">
        <f>ROUNDUP('HSZ do groszy'!AE16,0)</f>
        <v>0</v>
      </c>
      <c r="AF16" s="377">
        <f>ROUNDUP('HSZ do groszy'!AF16,0)</f>
        <v>0</v>
      </c>
      <c r="AG16" s="378">
        <f>ROUNDUP('HSZ do groszy'!AG16,0)</f>
        <v>0</v>
      </c>
      <c r="AH16" s="380">
        <f>ROUNDUP('HSZ do groszy'!AH16,0)</f>
        <v>0</v>
      </c>
      <c r="AI16" s="378">
        <f>ROUNDUP('HSZ do groszy'!AI16,0)</f>
        <v>0</v>
      </c>
      <c r="AJ16" s="380">
        <f>ROUNDUP('HSZ do groszy'!AJ16,0)</f>
        <v>0</v>
      </c>
      <c r="AK16" s="378">
        <f>ROUNDUP('HSZ do groszy'!AK16,0)</f>
        <v>0</v>
      </c>
      <c r="AL16" s="380">
        <f>ROUNDUP('HSZ do groszy'!AL16,0)</f>
        <v>0</v>
      </c>
      <c r="AM16" s="378">
        <f>ROUNDUP('HSZ do groszy'!AM16,0)</f>
        <v>0</v>
      </c>
      <c r="AN16" s="380">
        <f>ROUNDUP('HSZ do groszy'!AN16,0)</f>
        <v>0</v>
      </c>
      <c r="AO16" s="378">
        <f>ROUNDUP('HSZ do groszy'!AO16,0)</f>
        <v>0</v>
      </c>
      <c r="AP16" s="380">
        <f>ROUNDUP('HSZ do groszy'!AP16,0)</f>
        <v>0</v>
      </c>
      <c r="AQ16" s="378">
        <f>ROUNDUP('HSZ do groszy'!AQ16,0)</f>
        <v>0</v>
      </c>
      <c r="AR16" s="380">
        <f>ROUNDUP('HSZ do groszy'!AR16,0)</f>
        <v>0</v>
      </c>
      <c r="AS16" s="192"/>
      <c r="AT16" s="192"/>
      <c r="AU16" s="381" t="str">
        <f t="shared" si="10"/>
        <v>WFOŚiGW 52/2008/76/OZ/po/P</v>
      </c>
      <c r="AV16" s="382">
        <f t="shared" si="10"/>
        <v>138349</v>
      </c>
      <c r="AW16" s="383">
        <f t="shared" si="11"/>
        <v>88389</v>
      </c>
      <c r="AX16" s="384">
        <f t="shared" si="12"/>
        <v>7959</v>
      </c>
      <c r="AY16" s="385">
        <f t="shared" si="13"/>
        <v>96348</v>
      </c>
      <c r="AZ16" s="383">
        <f t="shared" si="14"/>
        <v>73017</v>
      </c>
      <c r="BA16" s="384">
        <f t="shared" si="15"/>
        <v>5480</v>
      </c>
      <c r="BB16" s="385">
        <f t="shared" si="16"/>
        <v>78497</v>
      </c>
      <c r="BC16" s="383">
        <f t="shared" si="17"/>
        <v>57645</v>
      </c>
      <c r="BD16" s="384">
        <f t="shared" si="18"/>
        <v>3461</v>
      </c>
      <c r="BE16" s="385">
        <f t="shared" si="19"/>
        <v>61106</v>
      </c>
      <c r="BF16" s="383">
        <f t="shared" si="20"/>
        <v>42273</v>
      </c>
      <c r="BG16" s="384">
        <f t="shared" si="21"/>
        <v>1904</v>
      </c>
      <c r="BH16" s="385">
        <f t="shared" si="22"/>
        <v>44177</v>
      </c>
      <c r="BI16" s="383">
        <f t="shared" si="23"/>
        <v>26901</v>
      </c>
      <c r="BJ16" s="384">
        <f t="shared" si="24"/>
        <v>808</v>
      </c>
      <c r="BK16" s="385">
        <f t="shared" si="25"/>
        <v>27709</v>
      </c>
      <c r="BL16" s="383">
        <f t="shared" si="26"/>
        <v>11529</v>
      </c>
      <c r="BM16" s="384">
        <f t="shared" si="27"/>
        <v>173</v>
      </c>
      <c r="BN16" s="385">
        <f t="shared" si="28"/>
        <v>11702</v>
      </c>
      <c r="BO16" s="383">
        <f t="shared" si="29"/>
        <v>0</v>
      </c>
      <c r="BP16" s="384">
        <f t="shared" si="30"/>
        <v>0</v>
      </c>
      <c r="BQ16" s="385">
        <f t="shared" si="31"/>
        <v>0</v>
      </c>
      <c r="BR16" s="383">
        <f t="shared" si="32"/>
        <v>0</v>
      </c>
      <c r="BS16" s="384">
        <f t="shared" si="33"/>
        <v>0</v>
      </c>
      <c r="BT16" s="385">
        <f t="shared" si="34"/>
        <v>0</v>
      </c>
      <c r="BU16" s="383">
        <f t="shared" si="35"/>
        <v>0</v>
      </c>
      <c r="BV16" s="384">
        <f t="shared" si="36"/>
        <v>0</v>
      </c>
      <c r="BW16" s="385">
        <f t="shared" si="37"/>
        <v>0</v>
      </c>
      <c r="BX16" s="383">
        <f t="shared" si="38"/>
        <v>0</v>
      </c>
      <c r="BY16" s="384">
        <f t="shared" si="39"/>
        <v>0</v>
      </c>
      <c r="BZ16" s="385">
        <f t="shared" si="40"/>
        <v>0</v>
      </c>
      <c r="CA16" s="383">
        <f t="shared" si="41"/>
        <v>0</v>
      </c>
      <c r="CB16" s="384">
        <f t="shared" si="42"/>
        <v>0</v>
      </c>
      <c r="CC16" s="385">
        <f t="shared" si="43"/>
        <v>0</v>
      </c>
      <c r="CD16" s="383">
        <f t="shared" si="44"/>
        <v>0</v>
      </c>
      <c r="CE16" s="384">
        <f t="shared" si="45"/>
        <v>0</v>
      </c>
      <c r="CF16" s="385">
        <f t="shared" si="46"/>
        <v>0</v>
      </c>
      <c r="CG16" s="383">
        <f t="shared" si="47"/>
        <v>0</v>
      </c>
      <c r="CH16" s="384">
        <f t="shared" si="48"/>
        <v>0</v>
      </c>
      <c r="CI16" s="385">
        <f t="shared" si="49"/>
        <v>0</v>
      </c>
      <c r="CJ16" s="383">
        <f t="shared" si="50"/>
        <v>0</v>
      </c>
      <c r="CK16" s="384">
        <f t="shared" si="51"/>
        <v>0</v>
      </c>
      <c r="CL16" s="385">
        <f t="shared" si="52"/>
        <v>0</v>
      </c>
      <c r="CM16" s="383">
        <f t="shared" si="53"/>
        <v>0</v>
      </c>
      <c r="CN16" s="384">
        <f t="shared" si="54"/>
        <v>0</v>
      </c>
      <c r="CO16" s="385">
        <f t="shared" si="55"/>
        <v>0</v>
      </c>
      <c r="CP16" s="383">
        <f t="shared" si="56"/>
        <v>0</v>
      </c>
      <c r="CQ16" s="384">
        <f t="shared" si="57"/>
        <v>0</v>
      </c>
      <c r="CR16" s="385">
        <f t="shared" si="58"/>
        <v>0</v>
      </c>
      <c r="CS16" s="383">
        <f t="shared" si="59"/>
        <v>0</v>
      </c>
      <c r="CT16" s="384">
        <f t="shared" si="60"/>
        <v>0</v>
      </c>
      <c r="CU16" s="385">
        <f t="shared" si="61"/>
        <v>0</v>
      </c>
      <c r="CV16" s="383">
        <f t="shared" si="62"/>
        <v>0</v>
      </c>
      <c r="CW16" s="384">
        <f t="shared" si="63"/>
        <v>0</v>
      </c>
      <c r="CX16" s="385">
        <f t="shared" si="64"/>
        <v>0</v>
      </c>
    </row>
    <row r="17" spans="1:102">
      <c r="A17" s="374" t="str">
        <f>'HSZ do groszy'!A17</f>
        <v>WFOŚiGW 57/2007/76/OA/oe/P</v>
      </c>
      <c r="B17" s="375">
        <f>ROUNDUP('HSZ do groszy'!B17,0)</f>
        <v>499709</v>
      </c>
      <c r="C17" s="376">
        <f>ROUNDUP('HSZ do groszy'!C17,0)</f>
        <v>47500</v>
      </c>
      <c r="D17" s="377">
        <f>ROUNDUP('HSZ do groszy'!D17,0)</f>
        <v>12237</v>
      </c>
      <c r="E17" s="376">
        <f t="shared" si="8"/>
        <v>332500</v>
      </c>
      <c r="F17" s="377">
        <f t="shared" si="9"/>
        <v>35853</v>
      </c>
      <c r="G17" s="376">
        <f>ROUNDUP('HSZ do groszy'!G17,0)</f>
        <v>47500</v>
      </c>
      <c r="H17" s="377">
        <f>ROUNDUP('HSZ do groszy'!H17,0)</f>
        <v>9397</v>
      </c>
      <c r="I17" s="376">
        <f>ROUNDUP('HSZ do groszy'!I17,0)</f>
        <v>47500</v>
      </c>
      <c r="J17" s="377">
        <f>ROUNDUP('HSZ do groszy'!J17,0)</f>
        <v>7972</v>
      </c>
      <c r="K17" s="378">
        <f>ROUNDUP('HSZ do groszy'!K17,0)</f>
        <v>47500</v>
      </c>
      <c r="L17" s="379">
        <f>ROUNDUP('HSZ do groszy'!L17,0)</f>
        <v>6546</v>
      </c>
      <c r="M17" s="376">
        <f>ROUNDUP('HSZ do groszy'!M17,0)</f>
        <v>47500</v>
      </c>
      <c r="N17" s="377">
        <f>ROUNDUP('HSZ do groszy'!N17,0)</f>
        <v>5122</v>
      </c>
      <c r="O17" s="378">
        <f>ROUNDUP('HSZ do groszy'!O17,0)</f>
        <v>47500</v>
      </c>
      <c r="P17" s="379">
        <f>ROUNDUP('HSZ do groszy'!P17,0)</f>
        <v>3697</v>
      </c>
      <c r="Q17" s="376">
        <f>ROUNDUP('HSZ do groszy'!Q17,0)</f>
        <v>47500</v>
      </c>
      <c r="R17" s="377">
        <f>ROUNDUP('HSZ do groszy'!R17,0)</f>
        <v>2272</v>
      </c>
      <c r="S17" s="378">
        <f>ROUNDUP('HSZ do groszy'!S17,0)</f>
        <v>47500</v>
      </c>
      <c r="T17" s="379">
        <f>ROUNDUP('HSZ do groszy'!T17,0)</f>
        <v>847</v>
      </c>
      <c r="U17" s="376">
        <f>ROUNDUP('HSZ do groszy'!U17,0)</f>
        <v>0</v>
      </c>
      <c r="V17" s="377">
        <f>ROUNDUP('HSZ do groszy'!V17,0)</f>
        <v>0</v>
      </c>
      <c r="W17" s="378">
        <f>ROUNDUP('HSZ do groszy'!W17,0)</f>
        <v>0</v>
      </c>
      <c r="X17" s="379">
        <f>ROUNDUP('HSZ do groszy'!X17,0)</f>
        <v>0</v>
      </c>
      <c r="Y17" s="376">
        <f>ROUNDUP('HSZ do groszy'!Y17,0)</f>
        <v>0</v>
      </c>
      <c r="Z17" s="377">
        <f>ROUNDUP('HSZ do groszy'!Z17,0)</f>
        <v>0</v>
      </c>
      <c r="AA17" s="378">
        <f>ROUNDUP('HSZ do groszy'!AA17,0)</f>
        <v>0</v>
      </c>
      <c r="AB17" s="379">
        <f>ROUNDUP('HSZ do groszy'!AB17,0)</f>
        <v>0</v>
      </c>
      <c r="AC17" s="376">
        <f>ROUNDUP('HSZ do groszy'!AC17,0)</f>
        <v>0</v>
      </c>
      <c r="AD17" s="377">
        <f>ROUNDUP('HSZ do groszy'!AD17,0)</f>
        <v>0</v>
      </c>
      <c r="AE17" s="378">
        <f>ROUNDUP('HSZ do groszy'!AE17,0)</f>
        <v>0</v>
      </c>
      <c r="AF17" s="377">
        <f>ROUNDUP('HSZ do groszy'!AF17,0)</f>
        <v>0</v>
      </c>
      <c r="AG17" s="378">
        <f>ROUNDUP('HSZ do groszy'!AG17,0)</f>
        <v>0</v>
      </c>
      <c r="AH17" s="380">
        <f>ROUNDUP('HSZ do groszy'!AH17,0)</f>
        <v>0</v>
      </c>
      <c r="AI17" s="378">
        <f>ROUNDUP('HSZ do groszy'!AI17,0)</f>
        <v>0</v>
      </c>
      <c r="AJ17" s="380">
        <f>ROUNDUP('HSZ do groszy'!AJ17,0)</f>
        <v>0</v>
      </c>
      <c r="AK17" s="378">
        <f>ROUNDUP('HSZ do groszy'!AK17,0)</f>
        <v>0</v>
      </c>
      <c r="AL17" s="380">
        <f>ROUNDUP('HSZ do groszy'!AL17,0)</f>
        <v>0</v>
      </c>
      <c r="AM17" s="378">
        <f>ROUNDUP('HSZ do groszy'!AM17,0)</f>
        <v>0</v>
      </c>
      <c r="AN17" s="380">
        <f>ROUNDUP('HSZ do groszy'!AN17,0)</f>
        <v>0</v>
      </c>
      <c r="AO17" s="378">
        <f>ROUNDUP('HSZ do groszy'!AO17,0)</f>
        <v>0</v>
      </c>
      <c r="AP17" s="380">
        <f>ROUNDUP('HSZ do groszy'!AP17,0)</f>
        <v>0</v>
      </c>
      <c r="AQ17" s="378">
        <f>ROUNDUP('HSZ do groszy'!AQ17,0)</f>
        <v>0</v>
      </c>
      <c r="AR17" s="380">
        <f>ROUNDUP('HSZ do groszy'!AR17,0)</f>
        <v>0</v>
      </c>
      <c r="AS17" s="192"/>
      <c r="AT17" s="192"/>
      <c r="AU17" s="381" t="str">
        <f t="shared" si="10"/>
        <v>WFOŚiGW 57/2007/76/OA/oe/P</v>
      </c>
      <c r="AV17" s="382">
        <f t="shared" si="10"/>
        <v>499709</v>
      </c>
      <c r="AW17" s="383">
        <f t="shared" si="11"/>
        <v>285000</v>
      </c>
      <c r="AX17" s="384">
        <f t="shared" si="12"/>
        <v>26456</v>
      </c>
      <c r="AY17" s="385">
        <f t="shared" si="13"/>
        <v>311456</v>
      </c>
      <c r="AZ17" s="383">
        <f t="shared" si="14"/>
        <v>237500</v>
      </c>
      <c r="BA17" s="384">
        <f t="shared" si="15"/>
        <v>18484</v>
      </c>
      <c r="BB17" s="385">
        <f t="shared" si="16"/>
        <v>255984</v>
      </c>
      <c r="BC17" s="383">
        <f t="shared" si="17"/>
        <v>190000</v>
      </c>
      <c r="BD17" s="384">
        <f t="shared" si="18"/>
        <v>11938</v>
      </c>
      <c r="BE17" s="385">
        <f t="shared" si="19"/>
        <v>201938</v>
      </c>
      <c r="BF17" s="383">
        <f t="shared" si="20"/>
        <v>142500</v>
      </c>
      <c r="BG17" s="384">
        <f t="shared" si="21"/>
        <v>6816</v>
      </c>
      <c r="BH17" s="385">
        <f t="shared" si="22"/>
        <v>149316</v>
      </c>
      <c r="BI17" s="383">
        <f t="shared" si="23"/>
        <v>95000</v>
      </c>
      <c r="BJ17" s="384">
        <f t="shared" si="24"/>
        <v>3119</v>
      </c>
      <c r="BK17" s="385">
        <f t="shared" si="25"/>
        <v>98119</v>
      </c>
      <c r="BL17" s="383">
        <f t="shared" si="26"/>
        <v>47500</v>
      </c>
      <c r="BM17" s="384">
        <f t="shared" si="27"/>
        <v>847</v>
      </c>
      <c r="BN17" s="385">
        <f t="shared" si="28"/>
        <v>48347</v>
      </c>
      <c r="BO17" s="383">
        <f t="shared" si="29"/>
        <v>0</v>
      </c>
      <c r="BP17" s="384">
        <f t="shared" si="30"/>
        <v>0</v>
      </c>
      <c r="BQ17" s="385">
        <f t="shared" si="31"/>
        <v>0</v>
      </c>
      <c r="BR17" s="383">
        <f t="shared" si="32"/>
        <v>0</v>
      </c>
      <c r="BS17" s="384">
        <f t="shared" si="33"/>
        <v>0</v>
      </c>
      <c r="BT17" s="385">
        <f t="shared" si="34"/>
        <v>0</v>
      </c>
      <c r="BU17" s="383">
        <f t="shared" si="35"/>
        <v>0</v>
      </c>
      <c r="BV17" s="384">
        <f t="shared" si="36"/>
        <v>0</v>
      </c>
      <c r="BW17" s="385">
        <f t="shared" si="37"/>
        <v>0</v>
      </c>
      <c r="BX17" s="383">
        <f t="shared" si="38"/>
        <v>0</v>
      </c>
      <c r="BY17" s="384">
        <f t="shared" si="39"/>
        <v>0</v>
      </c>
      <c r="BZ17" s="385">
        <f t="shared" si="40"/>
        <v>0</v>
      </c>
      <c r="CA17" s="383">
        <f t="shared" si="41"/>
        <v>0</v>
      </c>
      <c r="CB17" s="384">
        <f t="shared" si="42"/>
        <v>0</v>
      </c>
      <c r="CC17" s="385">
        <f t="shared" si="43"/>
        <v>0</v>
      </c>
      <c r="CD17" s="383">
        <f t="shared" si="44"/>
        <v>0</v>
      </c>
      <c r="CE17" s="384">
        <f t="shared" si="45"/>
        <v>0</v>
      </c>
      <c r="CF17" s="385">
        <f t="shared" si="46"/>
        <v>0</v>
      </c>
      <c r="CG17" s="383">
        <f t="shared" si="47"/>
        <v>0</v>
      </c>
      <c r="CH17" s="384">
        <f t="shared" si="48"/>
        <v>0</v>
      </c>
      <c r="CI17" s="385">
        <f t="shared" si="49"/>
        <v>0</v>
      </c>
      <c r="CJ17" s="383">
        <f t="shared" si="50"/>
        <v>0</v>
      </c>
      <c r="CK17" s="384">
        <f t="shared" si="51"/>
        <v>0</v>
      </c>
      <c r="CL17" s="385">
        <f t="shared" si="52"/>
        <v>0</v>
      </c>
      <c r="CM17" s="383">
        <f t="shared" si="53"/>
        <v>0</v>
      </c>
      <c r="CN17" s="384">
        <f t="shared" si="54"/>
        <v>0</v>
      </c>
      <c r="CO17" s="385">
        <f t="shared" si="55"/>
        <v>0</v>
      </c>
      <c r="CP17" s="383">
        <f t="shared" si="56"/>
        <v>0</v>
      </c>
      <c r="CQ17" s="384">
        <f t="shared" si="57"/>
        <v>0</v>
      </c>
      <c r="CR17" s="385">
        <f t="shared" si="58"/>
        <v>0</v>
      </c>
      <c r="CS17" s="383">
        <f t="shared" si="59"/>
        <v>0</v>
      </c>
      <c r="CT17" s="384">
        <f t="shared" si="60"/>
        <v>0</v>
      </c>
      <c r="CU17" s="385">
        <f t="shared" si="61"/>
        <v>0</v>
      </c>
      <c r="CV17" s="383">
        <f t="shared" si="62"/>
        <v>0</v>
      </c>
      <c r="CW17" s="384">
        <f t="shared" si="63"/>
        <v>0</v>
      </c>
      <c r="CX17" s="385">
        <f t="shared" si="64"/>
        <v>0</v>
      </c>
    </row>
    <row r="18" spans="1:102">
      <c r="A18" s="1195" t="str">
        <f>'HSZ do groszy'!A18</f>
        <v>WFOŚiGW 174/2003/76/OA/no/P</v>
      </c>
      <c r="B18" s="387">
        <f>ROUNDUP('HSZ do groszy'!B18,0)</f>
        <v>307667</v>
      </c>
      <c r="C18" s="376">
        <f>ROUNDUP('HSZ do groszy'!C18,0)</f>
        <v>38000</v>
      </c>
      <c r="D18" s="377">
        <f>ROUNDUP('HSZ do groszy'!D18,0)</f>
        <v>834</v>
      </c>
      <c r="E18" s="376">
        <f t="shared" si="8"/>
        <v>38000</v>
      </c>
      <c r="F18" s="377">
        <f t="shared" si="9"/>
        <v>94</v>
      </c>
      <c r="G18" s="376">
        <f>ROUNDUP('HSZ do groszy'!G18,0)</f>
        <v>38000</v>
      </c>
      <c r="H18" s="377">
        <f>ROUNDUP('HSZ do groszy'!H18,0)</f>
        <v>94</v>
      </c>
      <c r="I18" s="376">
        <f>ROUNDUP('HSZ do groszy'!I18,0)</f>
        <v>0</v>
      </c>
      <c r="J18" s="377">
        <f>ROUNDUP('HSZ do groszy'!J18,0)</f>
        <v>0</v>
      </c>
      <c r="K18" s="378">
        <f>ROUNDUP('HSZ do groszy'!K18,0)</f>
        <v>0</v>
      </c>
      <c r="L18" s="379">
        <f>ROUNDUP('HSZ do groszy'!L18,0)</f>
        <v>0</v>
      </c>
      <c r="M18" s="376">
        <f>ROUNDUP('HSZ do groszy'!M18,0)</f>
        <v>0</v>
      </c>
      <c r="N18" s="377">
        <f>ROUNDUP('HSZ do groszy'!N18,0)</f>
        <v>0</v>
      </c>
      <c r="O18" s="378">
        <f>ROUNDUP('HSZ do groszy'!O18,0)</f>
        <v>0</v>
      </c>
      <c r="P18" s="379">
        <f>ROUNDUP('HSZ do groszy'!P18,0)</f>
        <v>0</v>
      </c>
      <c r="Q18" s="376">
        <f>ROUNDUP('HSZ do groszy'!Q18,0)</f>
        <v>0</v>
      </c>
      <c r="R18" s="377">
        <f>ROUNDUP('HSZ do groszy'!R18,0)</f>
        <v>0</v>
      </c>
      <c r="S18" s="378">
        <f>ROUNDUP('HSZ do groszy'!S18,0)</f>
        <v>0</v>
      </c>
      <c r="T18" s="379">
        <f>ROUNDUP('HSZ do groszy'!T18,0)</f>
        <v>0</v>
      </c>
      <c r="U18" s="376">
        <f>ROUNDUP('HSZ do groszy'!U18,0)</f>
        <v>0</v>
      </c>
      <c r="V18" s="377">
        <f>ROUNDUP('HSZ do groszy'!V18,0)</f>
        <v>0</v>
      </c>
      <c r="W18" s="378">
        <f>ROUNDUP('HSZ do groszy'!W18,0)</f>
        <v>0</v>
      </c>
      <c r="X18" s="379">
        <f>ROUNDUP('HSZ do groszy'!X18,0)</f>
        <v>0</v>
      </c>
      <c r="Y18" s="376">
        <f>ROUNDUP('HSZ do groszy'!Y18,0)</f>
        <v>0</v>
      </c>
      <c r="Z18" s="377">
        <f>ROUNDUP('HSZ do groszy'!Z18,0)</f>
        <v>0</v>
      </c>
      <c r="AA18" s="378">
        <f>ROUNDUP('HSZ do groszy'!AA18,0)</f>
        <v>0</v>
      </c>
      <c r="AB18" s="379">
        <f>ROUNDUP('HSZ do groszy'!AB18,0)</f>
        <v>0</v>
      </c>
      <c r="AC18" s="376">
        <f>ROUNDUP('HSZ do groszy'!AC18,0)</f>
        <v>0</v>
      </c>
      <c r="AD18" s="377">
        <f>ROUNDUP('HSZ do groszy'!AD18,0)</f>
        <v>0</v>
      </c>
      <c r="AE18" s="378">
        <f>ROUNDUP('HSZ do groszy'!AE18,0)</f>
        <v>0</v>
      </c>
      <c r="AF18" s="377">
        <f>ROUNDUP('HSZ do groszy'!AF18,0)</f>
        <v>0</v>
      </c>
      <c r="AG18" s="378">
        <f>ROUNDUP('HSZ do groszy'!AG18,0)</f>
        <v>0</v>
      </c>
      <c r="AH18" s="380">
        <f>ROUNDUP('HSZ do groszy'!AH18,0)</f>
        <v>0</v>
      </c>
      <c r="AI18" s="378">
        <f>ROUNDUP('HSZ do groszy'!AI18,0)</f>
        <v>0</v>
      </c>
      <c r="AJ18" s="380">
        <f>ROUNDUP('HSZ do groszy'!AJ18,0)</f>
        <v>0</v>
      </c>
      <c r="AK18" s="378">
        <f>ROUNDUP('HSZ do groszy'!AK18,0)</f>
        <v>0</v>
      </c>
      <c r="AL18" s="380">
        <f>ROUNDUP('HSZ do groszy'!AL18,0)</f>
        <v>0</v>
      </c>
      <c r="AM18" s="378">
        <f>ROUNDUP('HSZ do groszy'!AM18,0)</f>
        <v>0</v>
      </c>
      <c r="AN18" s="380">
        <f>ROUNDUP('HSZ do groszy'!AN18,0)</f>
        <v>0</v>
      </c>
      <c r="AO18" s="378">
        <f>ROUNDUP('HSZ do groszy'!AO18,0)</f>
        <v>0</v>
      </c>
      <c r="AP18" s="380">
        <f>ROUNDUP('HSZ do groszy'!AP18,0)</f>
        <v>0</v>
      </c>
      <c r="AQ18" s="378">
        <f>ROUNDUP('HSZ do groszy'!AQ18,0)</f>
        <v>0</v>
      </c>
      <c r="AR18" s="380">
        <f>ROUNDUP('HSZ do groszy'!AR18,0)</f>
        <v>0</v>
      </c>
      <c r="AS18" s="192"/>
      <c r="AT18" s="192"/>
      <c r="AU18" s="381" t="str">
        <f t="shared" si="10"/>
        <v>WFOŚiGW 174/2003/76/OA/no/P</v>
      </c>
      <c r="AV18" s="382">
        <f t="shared" si="10"/>
        <v>307667</v>
      </c>
      <c r="AW18" s="383">
        <f t="shared" si="11"/>
        <v>0</v>
      </c>
      <c r="AX18" s="384">
        <f t="shared" si="12"/>
        <v>0</v>
      </c>
      <c r="AY18" s="385">
        <f t="shared" si="13"/>
        <v>0</v>
      </c>
      <c r="AZ18" s="383">
        <f t="shared" si="14"/>
        <v>0</v>
      </c>
      <c r="BA18" s="384">
        <f t="shared" si="15"/>
        <v>0</v>
      </c>
      <c r="BB18" s="385">
        <f t="shared" si="16"/>
        <v>0</v>
      </c>
      <c r="BC18" s="383">
        <f t="shared" si="17"/>
        <v>0</v>
      </c>
      <c r="BD18" s="384">
        <f t="shared" si="18"/>
        <v>0</v>
      </c>
      <c r="BE18" s="385">
        <f t="shared" si="19"/>
        <v>0</v>
      </c>
      <c r="BF18" s="383">
        <f t="shared" si="20"/>
        <v>0</v>
      </c>
      <c r="BG18" s="384">
        <f t="shared" si="21"/>
        <v>0</v>
      </c>
      <c r="BH18" s="385">
        <f t="shared" si="22"/>
        <v>0</v>
      </c>
      <c r="BI18" s="383">
        <f t="shared" si="23"/>
        <v>0</v>
      </c>
      <c r="BJ18" s="384">
        <f t="shared" si="24"/>
        <v>0</v>
      </c>
      <c r="BK18" s="385">
        <f t="shared" si="25"/>
        <v>0</v>
      </c>
      <c r="BL18" s="383">
        <f t="shared" si="26"/>
        <v>0</v>
      </c>
      <c r="BM18" s="384">
        <f t="shared" si="27"/>
        <v>0</v>
      </c>
      <c r="BN18" s="385">
        <f t="shared" si="28"/>
        <v>0</v>
      </c>
      <c r="BO18" s="383">
        <f t="shared" si="29"/>
        <v>0</v>
      </c>
      <c r="BP18" s="384">
        <f t="shared" si="30"/>
        <v>0</v>
      </c>
      <c r="BQ18" s="385">
        <f t="shared" si="31"/>
        <v>0</v>
      </c>
      <c r="BR18" s="383">
        <f t="shared" si="32"/>
        <v>0</v>
      </c>
      <c r="BS18" s="384">
        <f t="shared" si="33"/>
        <v>0</v>
      </c>
      <c r="BT18" s="385">
        <f t="shared" si="34"/>
        <v>0</v>
      </c>
      <c r="BU18" s="383">
        <f t="shared" si="35"/>
        <v>0</v>
      </c>
      <c r="BV18" s="384">
        <f t="shared" si="36"/>
        <v>0</v>
      </c>
      <c r="BW18" s="385">
        <f t="shared" si="37"/>
        <v>0</v>
      </c>
      <c r="BX18" s="383">
        <f t="shared" si="38"/>
        <v>0</v>
      </c>
      <c r="BY18" s="384">
        <f t="shared" si="39"/>
        <v>0</v>
      </c>
      <c r="BZ18" s="385">
        <f t="shared" si="40"/>
        <v>0</v>
      </c>
      <c r="CA18" s="383">
        <f t="shared" si="41"/>
        <v>0</v>
      </c>
      <c r="CB18" s="384">
        <f t="shared" si="42"/>
        <v>0</v>
      </c>
      <c r="CC18" s="385">
        <f t="shared" si="43"/>
        <v>0</v>
      </c>
      <c r="CD18" s="383">
        <f t="shared" si="44"/>
        <v>0</v>
      </c>
      <c r="CE18" s="384">
        <f t="shared" si="45"/>
        <v>0</v>
      </c>
      <c r="CF18" s="385">
        <f t="shared" si="46"/>
        <v>0</v>
      </c>
      <c r="CG18" s="383">
        <f t="shared" si="47"/>
        <v>0</v>
      </c>
      <c r="CH18" s="384">
        <f t="shared" si="48"/>
        <v>0</v>
      </c>
      <c r="CI18" s="385">
        <f t="shared" si="49"/>
        <v>0</v>
      </c>
      <c r="CJ18" s="383">
        <f t="shared" si="50"/>
        <v>0</v>
      </c>
      <c r="CK18" s="384">
        <f t="shared" si="51"/>
        <v>0</v>
      </c>
      <c r="CL18" s="385">
        <f t="shared" si="52"/>
        <v>0</v>
      </c>
      <c r="CM18" s="383">
        <f t="shared" si="53"/>
        <v>0</v>
      </c>
      <c r="CN18" s="384">
        <f t="shared" si="54"/>
        <v>0</v>
      </c>
      <c r="CO18" s="385">
        <f t="shared" si="55"/>
        <v>0</v>
      </c>
      <c r="CP18" s="383">
        <f t="shared" si="56"/>
        <v>0</v>
      </c>
      <c r="CQ18" s="384">
        <f t="shared" si="57"/>
        <v>0</v>
      </c>
      <c r="CR18" s="385">
        <f t="shared" si="58"/>
        <v>0</v>
      </c>
      <c r="CS18" s="383">
        <f t="shared" si="59"/>
        <v>0</v>
      </c>
      <c r="CT18" s="384">
        <f t="shared" si="60"/>
        <v>0</v>
      </c>
      <c r="CU18" s="385">
        <f t="shared" si="61"/>
        <v>0</v>
      </c>
      <c r="CV18" s="383">
        <f t="shared" si="62"/>
        <v>0</v>
      </c>
      <c r="CW18" s="384">
        <f t="shared" si="63"/>
        <v>0</v>
      </c>
      <c r="CX18" s="385">
        <f t="shared" si="64"/>
        <v>0</v>
      </c>
    </row>
    <row r="19" spans="1:102">
      <c r="A19" s="374" t="str">
        <f>'HSZ do groszy'!A19</f>
        <v>WFOŚiGW 194/2008/76/OA/no/P</v>
      </c>
      <c r="B19" s="375">
        <f>ROUNDUP('HSZ do groszy'!B19,0)</f>
        <v>366174</v>
      </c>
      <c r="C19" s="376">
        <f>ROUNDUP('HSZ do groszy'!C19,0)</f>
        <v>37000</v>
      </c>
      <c r="D19" s="377">
        <f>ROUNDUP('HSZ do groszy'!D19,0)</f>
        <v>10240</v>
      </c>
      <c r="E19" s="376">
        <f t="shared" si="8"/>
        <v>292174</v>
      </c>
      <c r="F19" s="377">
        <f t="shared" si="9"/>
        <v>32217</v>
      </c>
      <c r="G19" s="376">
        <f>ROUNDUP('HSZ do groszy'!G19,0)</f>
        <v>37000</v>
      </c>
      <c r="H19" s="377">
        <f>ROUNDUP('HSZ do groszy'!H19,0)</f>
        <v>8026</v>
      </c>
      <c r="I19" s="376">
        <f>ROUNDUP('HSZ do groszy'!I19,0)</f>
        <v>37000</v>
      </c>
      <c r="J19" s="377">
        <f>ROUNDUP('HSZ do groszy'!J19,0)</f>
        <v>6916</v>
      </c>
      <c r="K19" s="378">
        <f>ROUNDUP('HSZ do groszy'!K19,0)</f>
        <v>35087</v>
      </c>
      <c r="L19" s="379">
        <f>ROUNDUP('HSZ do groszy'!L19,0)</f>
        <v>5830</v>
      </c>
      <c r="M19" s="376">
        <f>ROUNDUP('HSZ do groszy'!M19,0)</f>
        <v>40686</v>
      </c>
      <c r="N19" s="377">
        <f>ROUNDUP('HSZ do groszy'!N19,0)</f>
        <v>4679</v>
      </c>
      <c r="O19" s="378">
        <f>ROUNDUP('HSZ do groszy'!O19,0)</f>
        <v>40686</v>
      </c>
      <c r="P19" s="379">
        <f>ROUNDUP('HSZ do groszy'!P19,0)</f>
        <v>3459</v>
      </c>
      <c r="Q19" s="376">
        <f>ROUNDUP('HSZ do groszy'!Q19,0)</f>
        <v>40686</v>
      </c>
      <c r="R19" s="377">
        <f>ROUNDUP('HSZ do groszy'!R19,0)</f>
        <v>2238</v>
      </c>
      <c r="S19" s="378">
        <f>ROUNDUP('HSZ do groszy'!S19,0)</f>
        <v>40686</v>
      </c>
      <c r="T19" s="379">
        <f>ROUNDUP('HSZ do groszy'!T19,0)</f>
        <v>1018</v>
      </c>
      <c r="U19" s="376">
        <f>ROUNDUP('HSZ do groszy'!U19,0)</f>
        <v>20343</v>
      </c>
      <c r="V19" s="377">
        <f>ROUNDUP('HSZ do groszy'!V19,0)</f>
        <v>51</v>
      </c>
      <c r="W19" s="378">
        <f>ROUNDUP('HSZ do groszy'!W19,0)</f>
        <v>0</v>
      </c>
      <c r="X19" s="379">
        <f>ROUNDUP('HSZ do groszy'!X19,0)</f>
        <v>0</v>
      </c>
      <c r="Y19" s="376">
        <f>ROUNDUP('HSZ do groszy'!Y19,0)</f>
        <v>0</v>
      </c>
      <c r="Z19" s="377">
        <f>ROUNDUP('HSZ do groszy'!Z19,0)</f>
        <v>0</v>
      </c>
      <c r="AA19" s="378">
        <f>ROUNDUP('HSZ do groszy'!AA19,0)</f>
        <v>0</v>
      </c>
      <c r="AB19" s="379">
        <f>ROUNDUP('HSZ do groszy'!AB19,0)</f>
        <v>0</v>
      </c>
      <c r="AC19" s="376">
        <f>ROUNDUP('HSZ do groszy'!AC19,0)</f>
        <v>0</v>
      </c>
      <c r="AD19" s="377">
        <f>ROUNDUP('HSZ do groszy'!AD19,0)</f>
        <v>0</v>
      </c>
      <c r="AE19" s="378">
        <f>ROUNDUP('HSZ do groszy'!AE19,0)</f>
        <v>0</v>
      </c>
      <c r="AF19" s="377">
        <f>ROUNDUP('HSZ do groszy'!AF19,0)</f>
        <v>0</v>
      </c>
      <c r="AG19" s="378">
        <f>ROUNDUP('HSZ do groszy'!AG19,0)</f>
        <v>0</v>
      </c>
      <c r="AH19" s="380">
        <f>ROUNDUP('HSZ do groszy'!AH19,0)</f>
        <v>0</v>
      </c>
      <c r="AI19" s="378">
        <f>ROUNDUP('HSZ do groszy'!AI19,0)</f>
        <v>0</v>
      </c>
      <c r="AJ19" s="380">
        <f>ROUNDUP('HSZ do groszy'!AJ19,0)</f>
        <v>0</v>
      </c>
      <c r="AK19" s="378">
        <f>ROUNDUP('HSZ do groszy'!AK19,0)</f>
        <v>0</v>
      </c>
      <c r="AL19" s="380">
        <f>ROUNDUP('HSZ do groszy'!AL19,0)</f>
        <v>0</v>
      </c>
      <c r="AM19" s="378">
        <f>ROUNDUP('HSZ do groszy'!AM19,0)</f>
        <v>0</v>
      </c>
      <c r="AN19" s="380">
        <f>ROUNDUP('HSZ do groszy'!AN19,0)</f>
        <v>0</v>
      </c>
      <c r="AO19" s="378">
        <f>ROUNDUP('HSZ do groszy'!AO19,0)</f>
        <v>0</v>
      </c>
      <c r="AP19" s="380">
        <f>ROUNDUP('HSZ do groszy'!AP19,0)</f>
        <v>0</v>
      </c>
      <c r="AQ19" s="378">
        <f>ROUNDUP('HSZ do groszy'!AQ19,0)</f>
        <v>0</v>
      </c>
      <c r="AR19" s="380">
        <f>ROUNDUP('HSZ do groszy'!AR19,0)</f>
        <v>0</v>
      </c>
      <c r="AS19" s="192"/>
      <c r="AT19" s="192"/>
      <c r="AU19" s="381" t="str">
        <f t="shared" si="10"/>
        <v>WFOŚiGW 194/2008/76/OA/no/P</v>
      </c>
      <c r="AV19" s="382">
        <f t="shared" si="10"/>
        <v>366174</v>
      </c>
      <c r="AW19" s="383">
        <f t="shared" si="11"/>
        <v>255174</v>
      </c>
      <c r="AX19" s="384">
        <f t="shared" si="12"/>
        <v>24191</v>
      </c>
      <c r="AY19" s="385">
        <f t="shared" si="13"/>
        <v>279365</v>
      </c>
      <c r="AZ19" s="383">
        <f t="shared" si="14"/>
        <v>218174</v>
      </c>
      <c r="BA19" s="384">
        <f t="shared" si="15"/>
        <v>17275</v>
      </c>
      <c r="BB19" s="385">
        <f t="shared" si="16"/>
        <v>235449</v>
      </c>
      <c r="BC19" s="383">
        <f>SUM($M19,$O19,$Q19,$S19,$U19,$W19,$Y19,$AA19,$AC19,$AE19,$AG19)-2</f>
        <v>183085</v>
      </c>
      <c r="BD19" s="384">
        <f t="shared" si="18"/>
        <v>11445</v>
      </c>
      <c r="BE19" s="385">
        <f t="shared" si="19"/>
        <v>194530</v>
      </c>
      <c r="BF19" s="383">
        <f>SUM($O19,$Q19,$S19,$U19,$W19,$Y19,$AA19,$AC19,$AE19,$AG19)-2</f>
        <v>142399</v>
      </c>
      <c r="BG19" s="384">
        <f t="shared" si="21"/>
        <v>6766</v>
      </c>
      <c r="BH19" s="385">
        <f t="shared" si="22"/>
        <v>149165</v>
      </c>
      <c r="BI19" s="383">
        <f>SUM($Q19,$S19,$U19,$W19,$Y19,$AA19,$AC19,$AE19,$AG19)-2</f>
        <v>101713</v>
      </c>
      <c r="BJ19" s="384">
        <f t="shared" si="24"/>
        <v>3307</v>
      </c>
      <c r="BK19" s="385">
        <f t="shared" si="25"/>
        <v>105020</v>
      </c>
      <c r="BL19" s="383">
        <f>SUM($S19,$U19,$W19,$Y19,$AA19,$AC19,$AE19,$AG19)-2</f>
        <v>61027</v>
      </c>
      <c r="BM19" s="384">
        <f t="shared" si="27"/>
        <v>1069</v>
      </c>
      <c r="BN19" s="385">
        <f t="shared" si="28"/>
        <v>62096</v>
      </c>
      <c r="BO19" s="383">
        <f>SUM($U19,$W19,$Y19,$AA19,$AC19,$AE19,$AG19)-2</f>
        <v>20341</v>
      </c>
      <c r="BP19" s="384">
        <f t="shared" si="30"/>
        <v>51</v>
      </c>
      <c r="BQ19" s="385">
        <f t="shared" si="31"/>
        <v>20392</v>
      </c>
      <c r="BR19" s="383">
        <f t="shared" si="32"/>
        <v>0</v>
      </c>
      <c r="BS19" s="384">
        <f t="shared" si="33"/>
        <v>0</v>
      </c>
      <c r="BT19" s="385">
        <f t="shared" si="34"/>
        <v>0</v>
      </c>
      <c r="BU19" s="383">
        <f t="shared" si="35"/>
        <v>0</v>
      </c>
      <c r="BV19" s="384">
        <f t="shared" si="36"/>
        <v>0</v>
      </c>
      <c r="BW19" s="385">
        <f t="shared" si="37"/>
        <v>0</v>
      </c>
      <c r="BX19" s="383">
        <f t="shared" si="38"/>
        <v>0</v>
      </c>
      <c r="BY19" s="384">
        <f t="shared" si="39"/>
        <v>0</v>
      </c>
      <c r="BZ19" s="385">
        <f t="shared" si="40"/>
        <v>0</v>
      </c>
      <c r="CA19" s="383">
        <f t="shared" si="41"/>
        <v>0</v>
      </c>
      <c r="CB19" s="384">
        <f t="shared" si="42"/>
        <v>0</v>
      </c>
      <c r="CC19" s="385">
        <f t="shared" si="43"/>
        <v>0</v>
      </c>
      <c r="CD19" s="383">
        <f t="shared" si="44"/>
        <v>0</v>
      </c>
      <c r="CE19" s="384">
        <f t="shared" si="45"/>
        <v>0</v>
      </c>
      <c r="CF19" s="385">
        <f t="shared" si="46"/>
        <v>0</v>
      </c>
      <c r="CG19" s="383">
        <f t="shared" si="47"/>
        <v>0</v>
      </c>
      <c r="CH19" s="384">
        <f t="shared" si="48"/>
        <v>0</v>
      </c>
      <c r="CI19" s="385">
        <f t="shared" si="49"/>
        <v>0</v>
      </c>
      <c r="CJ19" s="383">
        <f t="shared" si="50"/>
        <v>0</v>
      </c>
      <c r="CK19" s="384">
        <f t="shared" si="51"/>
        <v>0</v>
      </c>
      <c r="CL19" s="385">
        <f t="shared" si="52"/>
        <v>0</v>
      </c>
      <c r="CM19" s="383">
        <f t="shared" si="53"/>
        <v>0</v>
      </c>
      <c r="CN19" s="384">
        <f t="shared" si="54"/>
        <v>0</v>
      </c>
      <c r="CO19" s="385">
        <f t="shared" si="55"/>
        <v>0</v>
      </c>
      <c r="CP19" s="383">
        <f t="shared" si="56"/>
        <v>0</v>
      </c>
      <c r="CQ19" s="384">
        <f t="shared" si="57"/>
        <v>0</v>
      </c>
      <c r="CR19" s="385">
        <f t="shared" si="58"/>
        <v>0</v>
      </c>
      <c r="CS19" s="383">
        <f t="shared" si="59"/>
        <v>0</v>
      </c>
      <c r="CT19" s="384">
        <f t="shared" si="60"/>
        <v>0</v>
      </c>
      <c r="CU19" s="385">
        <f t="shared" si="61"/>
        <v>0</v>
      </c>
      <c r="CV19" s="383">
        <f t="shared" si="62"/>
        <v>0</v>
      </c>
      <c r="CW19" s="384">
        <f t="shared" si="63"/>
        <v>0</v>
      </c>
      <c r="CX19" s="385">
        <f t="shared" si="64"/>
        <v>0</v>
      </c>
    </row>
    <row r="20" spans="1:102">
      <c r="A20" s="374" t="str">
        <f>'HSZ do groszy'!A20</f>
        <v>WFOŚiGW 260/2005/76/OA/oe/P</v>
      </c>
      <c r="B20" s="375">
        <f>ROUNDUP('HSZ do groszy'!B20,0)</f>
        <v>562761</v>
      </c>
      <c r="C20" s="376">
        <f>ROUNDUP('HSZ do groszy'!C20,0)</f>
        <v>62532</v>
      </c>
      <c r="D20" s="377">
        <f>ROUNDUP('HSZ do groszy'!D20,0)</f>
        <v>10995</v>
      </c>
      <c r="E20" s="376">
        <f t="shared" si="8"/>
        <v>265734</v>
      </c>
      <c r="F20" s="377">
        <f t="shared" si="9"/>
        <v>17881</v>
      </c>
      <c r="G20" s="376">
        <f>ROUNDUP('HSZ do groszy'!G20,0)</f>
        <v>62532</v>
      </c>
      <c r="H20" s="377">
        <f>ROUNDUP('HSZ do groszy'!H20,0)</f>
        <v>7249</v>
      </c>
      <c r="I20" s="376">
        <f>ROUNDUP('HSZ do groszy'!I20,0)</f>
        <v>62532</v>
      </c>
      <c r="J20" s="377">
        <f>ROUNDUP('HSZ do groszy'!J20,0)</f>
        <v>5374</v>
      </c>
      <c r="K20" s="378">
        <f>ROUNDUP('HSZ do groszy'!K20,0)</f>
        <v>62532</v>
      </c>
      <c r="L20" s="379">
        <f>ROUNDUP('HSZ do groszy'!L20,0)</f>
        <v>3518</v>
      </c>
      <c r="M20" s="376">
        <f>ROUNDUP('HSZ do groszy'!M20,0)</f>
        <v>62532</v>
      </c>
      <c r="N20" s="377">
        <f>ROUNDUP('HSZ do groszy'!N20,0)</f>
        <v>1622</v>
      </c>
      <c r="O20" s="378">
        <f>ROUNDUP('HSZ do groszy'!O20,0)</f>
        <v>15606</v>
      </c>
      <c r="P20" s="379">
        <f>ROUNDUP('HSZ do groszy'!P20,0)</f>
        <v>118</v>
      </c>
      <c r="Q20" s="376">
        <f>ROUNDUP('HSZ do groszy'!Q20,0)</f>
        <v>0</v>
      </c>
      <c r="R20" s="377">
        <f>ROUNDUP('HSZ do groszy'!R20,0)</f>
        <v>0</v>
      </c>
      <c r="S20" s="378">
        <f>ROUNDUP('HSZ do groszy'!S20,0)</f>
        <v>0</v>
      </c>
      <c r="T20" s="379">
        <f>ROUNDUP('HSZ do groszy'!T20,0)</f>
        <v>0</v>
      </c>
      <c r="U20" s="376">
        <f>ROUNDUP('HSZ do groszy'!U20,0)</f>
        <v>0</v>
      </c>
      <c r="V20" s="377">
        <f>ROUNDUP('HSZ do groszy'!V20,0)</f>
        <v>0</v>
      </c>
      <c r="W20" s="378">
        <f>ROUNDUP('HSZ do groszy'!W20,0)</f>
        <v>0</v>
      </c>
      <c r="X20" s="379">
        <f>ROUNDUP('HSZ do groszy'!X20,0)</f>
        <v>0</v>
      </c>
      <c r="Y20" s="376">
        <f>ROUNDUP('HSZ do groszy'!Y20,0)</f>
        <v>0</v>
      </c>
      <c r="Z20" s="377">
        <f>ROUNDUP('HSZ do groszy'!Z20,0)</f>
        <v>0</v>
      </c>
      <c r="AA20" s="378">
        <f>ROUNDUP('HSZ do groszy'!AA20,0)</f>
        <v>0</v>
      </c>
      <c r="AB20" s="379">
        <f>ROUNDUP('HSZ do groszy'!AB20,0)</f>
        <v>0</v>
      </c>
      <c r="AC20" s="376">
        <f>ROUNDUP('HSZ do groszy'!AC20,0)</f>
        <v>0</v>
      </c>
      <c r="AD20" s="377">
        <f>ROUNDUP('HSZ do groszy'!AD20,0)</f>
        <v>0</v>
      </c>
      <c r="AE20" s="378">
        <f>ROUNDUP('HSZ do groszy'!AE20,0)</f>
        <v>0</v>
      </c>
      <c r="AF20" s="377">
        <f>ROUNDUP('HSZ do groszy'!AF20,0)</f>
        <v>0</v>
      </c>
      <c r="AG20" s="378">
        <f>ROUNDUP('HSZ do groszy'!AG20,0)</f>
        <v>0</v>
      </c>
      <c r="AH20" s="380">
        <f>ROUNDUP('HSZ do groszy'!AH20,0)</f>
        <v>0</v>
      </c>
      <c r="AI20" s="378">
        <f>ROUNDUP('HSZ do groszy'!AI20,0)</f>
        <v>0</v>
      </c>
      <c r="AJ20" s="380">
        <f>ROUNDUP('HSZ do groszy'!AJ20,0)</f>
        <v>0</v>
      </c>
      <c r="AK20" s="378">
        <f>ROUNDUP('HSZ do groszy'!AK20,0)</f>
        <v>0</v>
      </c>
      <c r="AL20" s="380">
        <f>ROUNDUP('HSZ do groszy'!AL20,0)</f>
        <v>0</v>
      </c>
      <c r="AM20" s="378">
        <f>ROUNDUP('HSZ do groszy'!AM20,0)</f>
        <v>0</v>
      </c>
      <c r="AN20" s="380">
        <f>ROUNDUP('HSZ do groszy'!AN20,0)</f>
        <v>0</v>
      </c>
      <c r="AO20" s="378">
        <f>ROUNDUP('HSZ do groszy'!AO20,0)</f>
        <v>0</v>
      </c>
      <c r="AP20" s="380">
        <f>ROUNDUP('HSZ do groszy'!AP20,0)</f>
        <v>0</v>
      </c>
      <c r="AQ20" s="378">
        <f>ROUNDUP('HSZ do groszy'!AQ20,0)</f>
        <v>0</v>
      </c>
      <c r="AR20" s="380">
        <f>ROUNDUP('HSZ do groszy'!AR20,0)</f>
        <v>0</v>
      </c>
      <c r="AS20" s="192"/>
      <c r="AT20" s="192"/>
      <c r="AU20" s="381" t="str">
        <f t="shared" si="10"/>
        <v>WFOŚiGW 260/2005/76/OA/oe/P</v>
      </c>
      <c r="AV20" s="382">
        <f t="shared" si="10"/>
        <v>562761</v>
      </c>
      <c r="AW20" s="383">
        <f t="shared" si="11"/>
        <v>203202</v>
      </c>
      <c r="AX20" s="384">
        <f t="shared" si="12"/>
        <v>10632</v>
      </c>
      <c r="AY20" s="385">
        <f t="shared" si="13"/>
        <v>213834</v>
      </c>
      <c r="AZ20" s="383">
        <f t="shared" si="14"/>
        <v>140670</v>
      </c>
      <c r="BA20" s="384">
        <f t="shared" si="15"/>
        <v>5258</v>
      </c>
      <c r="BB20" s="385">
        <f t="shared" si="16"/>
        <v>145928</v>
      </c>
      <c r="BC20" s="383">
        <f t="shared" si="17"/>
        <v>78138</v>
      </c>
      <c r="BD20" s="384">
        <f t="shared" si="18"/>
        <v>1740</v>
      </c>
      <c r="BE20" s="385">
        <f t="shared" si="19"/>
        <v>79878</v>
      </c>
      <c r="BF20" s="383">
        <f>SUM($O20,$Q20,$S20,$U20,$W20,$Y20,$AA20,$AC20,$AE20,$AG20)</f>
        <v>15606</v>
      </c>
      <c r="BG20" s="384">
        <f t="shared" si="21"/>
        <v>118</v>
      </c>
      <c r="BH20" s="385">
        <f t="shared" si="22"/>
        <v>15724</v>
      </c>
      <c r="BI20" s="383">
        <f t="shared" si="23"/>
        <v>0</v>
      </c>
      <c r="BJ20" s="384">
        <f t="shared" si="24"/>
        <v>0</v>
      </c>
      <c r="BK20" s="385">
        <f t="shared" si="25"/>
        <v>0</v>
      </c>
      <c r="BL20" s="383">
        <f t="shared" si="26"/>
        <v>0</v>
      </c>
      <c r="BM20" s="384">
        <f t="shared" si="27"/>
        <v>0</v>
      </c>
      <c r="BN20" s="385">
        <f t="shared" si="28"/>
        <v>0</v>
      </c>
      <c r="BO20" s="383">
        <f t="shared" si="29"/>
        <v>0</v>
      </c>
      <c r="BP20" s="384">
        <f t="shared" si="30"/>
        <v>0</v>
      </c>
      <c r="BQ20" s="385">
        <f t="shared" si="31"/>
        <v>0</v>
      </c>
      <c r="BR20" s="383">
        <f t="shared" si="32"/>
        <v>0</v>
      </c>
      <c r="BS20" s="384">
        <f t="shared" si="33"/>
        <v>0</v>
      </c>
      <c r="BT20" s="385">
        <f t="shared" si="34"/>
        <v>0</v>
      </c>
      <c r="BU20" s="383">
        <f t="shared" si="35"/>
        <v>0</v>
      </c>
      <c r="BV20" s="384">
        <f t="shared" si="36"/>
        <v>0</v>
      </c>
      <c r="BW20" s="385">
        <f t="shared" si="37"/>
        <v>0</v>
      </c>
      <c r="BX20" s="383">
        <f t="shared" si="38"/>
        <v>0</v>
      </c>
      <c r="BY20" s="384">
        <f t="shared" si="39"/>
        <v>0</v>
      </c>
      <c r="BZ20" s="385">
        <f t="shared" si="40"/>
        <v>0</v>
      </c>
      <c r="CA20" s="383">
        <f t="shared" si="41"/>
        <v>0</v>
      </c>
      <c r="CB20" s="384">
        <f t="shared" si="42"/>
        <v>0</v>
      </c>
      <c r="CC20" s="385">
        <f t="shared" si="43"/>
        <v>0</v>
      </c>
      <c r="CD20" s="383">
        <f t="shared" si="44"/>
        <v>0</v>
      </c>
      <c r="CE20" s="384">
        <f t="shared" si="45"/>
        <v>0</v>
      </c>
      <c r="CF20" s="385">
        <f t="shared" si="46"/>
        <v>0</v>
      </c>
      <c r="CG20" s="383">
        <f t="shared" si="47"/>
        <v>0</v>
      </c>
      <c r="CH20" s="384">
        <f t="shared" si="48"/>
        <v>0</v>
      </c>
      <c r="CI20" s="385">
        <f t="shared" si="49"/>
        <v>0</v>
      </c>
      <c r="CJ20" s="383">
        <f t="shared" si="50"/>
        <v>0</v>
      </c>
      <c r="CK20" s="384">
        <f t="shared" si="51"/>
        <v>0</v>
      </c>
      <c r="CL20" s="385">
        <f t="shared" si="52"/>
        <v>0</v>
      </c>
      <c r="CM20" s="383">
        <f t="shared" si="53"/>
        <v>0</v>
      </c>
      <c r="CN20" s="384">
        <f t="shared" si="54"/>
        <v>0</v>
      </c>
      <c r="CO20" s="385">
        <f t="shared" si="55"/>
        <v>0</v>
      </c>
      <c r="CP20" s="383">
        <f t="shared" si="56"/>
        <v>0</v>
      </c>
      <c r="CQ20" s="384">
        <f t="shared" si="57"/>
        <v>0</v>
      </c>
      <c r="CR20" s="385">
        <f t="shared" si="58"/>
        <v>0</v>
      </c>
      <c r="CS20" s="383">
        <f t="shared" si="59"/>
        <v>0</v>
      </c>
      <c r="CT20" s="384">
        <f t="shared" si="60"/>
        <v>0</v>
      </c>
      <c r="CU20" s="385">
        <f t="shared" si="61"/>
        <v>0</v>
      </c>
      <c r="CV20" s="383">
        <f t="shared" si="62"/>
        <v>0</v>
      </c>
      <c r="CW20" s="384">
        <f t="shared" si="63"/>
        <v>0</v>
      </c>
      <c r="CX20" s="385">
        <f t="shared" si="64"/>
        <v>0</v>
      </c>
    </row>
    <row r="21" spans="1:102">
      <c r="A21" s="386" t="str">
        <f>'HSZ do groszy'!A21</f>
        <v>WFOŚiGW 302/2006/76/OA/po/P</v>
      </c>
      <c r="B21" s="387">
        <f>ROUNDUP('HSZ do groszy'!B21,0)</f>
        <v>917338</v>
      </c>
      <c r="C21" s="376">
        <f>ROUNDUP('HSZ do groszy'!C21,0)</f>
        <v>162720</v>
      </c>
      <c r="D21" s="377">
        <f>ROUNDUP('HSZ do groszy'!D21,0)</f>
        <v>18198</v>
      </c>
      <c r="E21" s="376">
        <f t="shared" si="8"/>
        <v>347818</v>
      </c>
      <c r="F21" s="377">
        <f t="shared" si="9"/>
        <v>12206</v>
      </c>
      <c r="G21" s="376">
        <f>ROUNDUP('HSZ do groszy'!G21,0)</f>
        <v>162720</v>
      </c>
      <c r="H21" s="377">
        <f>ROUNDUP('HSZ do groszy'!H21,0)</f>
        <v>8469</v>
      </c>
      <c r="I21" s="376">
        <f>ROUNDUP('HSZ do groszy'!I21,0)</f>
        <v>162720</v>
      </c>
      <c r="J21" s="377">
        <f>ROUNDUP('HSZ do groszy'!J21,0)</f>
        <v>3587</v>
      </c>
      <c r="K21" s="378">
        <f>ROUNDUP('HSZ do groszy'!K21,0)</f>
        <v>22378</v>
      </c>
      <c r="L21" s="379">
        <f>ROUNDUP('HSZ do groszy'!L21,0)</f>
        <v>150</v>
      </c>
      <c r="M21" s="376">
        <f>ROUNDUP('HSZ do groszy'!M21,0)</f>
        <v>0</v>
      </c>
      <c r="N21" s="377">
        <f>ROUNDUP('HSZ do groszy'!N21,0)</f>
        <v>0</v>
      </c>
      <c r="O21" s="378">
        <f>ROUNDUP('HSZ do groszy'!O21,0)</f>
        <v>0</v>
      </c>
      <c r="P21" s="379">
        <f>ROUNDUP('HSZ do groszy'!P21,0)</f>
        <v>0</v>
      </c>
      <c r="Q21" s="376">
        <f>ROUNDUP('HSZ do groszy'!Q21,0)</f>
        <v>0</v>
      </c>
      <c r="R21" s="377">
        <f>ROUNDUP('HSZ do groszy'!R21,0)</f>
        <v>0</v>
      </c>
      <c r="S21" s="378">
        <f>ROUNDUP('HSZ do groszy'!S21,0)</f>
        <v>0</v>
      </c>
      <c r="T21" s="379">
        <f>ROUNDUP('HSZ do groszy'!T21,0)</f>
        <v>0</v>
      </c>
      <c r="U21" s="376">
        <f>ROUNDUP('HSZ do groszy'!U21,0)</f>
        <v>0</v>
      </c>
      <c r="V21" s="377">
        <f>ROUNDUP('HSZ do groszy'!V21,0)</f>
        <v>0</v>
      </c>
      <c r="W21" s="378">
        <f>ROUNDUP('HSZ do groszy'!W21,0)</f>
        <v>0</v>
      </c>
      <c r="X21" s="379">
        <f>ROUNDUP('HSZ do groszy'!X21,0)</f>
        <v>0</v>
      </c>
      <c r="Y21" s="376">
        <f>ROUNDUP('HSZ do groszy'!Y21,0)</f>
        <v>0</v>
      </c>
      <c r="Z21" s="377">
        <f>ROUNDUP('HSZ do groszy'!Z21,0)</f>
        <v>0</v>
      </c>
      <c r="AA21" s="378">
        <f>ROUNDUP('HSZ do groszy'!AA21,0)</f>
        <v>0</v>
      </c>
      <c r="AB21" s="379">
        <f>ROUNDUP('HSZ do groszy'!AB21,0)</f>
        <v>0</v>
      </c>
      <c r="AC21" s="376">
        <f>ROUNDUP('HSZ do groszy'!AC21,0)</f>
        <v>0</v>
      </c>
      <c r="AD21" s="377">
        <f>ROUNDUP('HSZ do groszy'!AD21,0)</f>
        <v>0</v>
      </c>
      <c r="AE21" s="378">
        <f>ROUNDUP('HSZ do groszy'!AE21,0)</f>
        <v>0</v>
      </c>
      <c r="AF21" s="377">
        <f>ROUNDUP('HSZ do groszy'!AF21,0)</f>
        <v>0</v>
      </c>
      <c r="AG21" s="378">
        <f>ROUNDUP('HSZ do groszy'!AG21,0)</f>
        <v>0</v>
      </c>
      <c r="AH21" s="380">
        <f>ROUNDUP('HSZ do groszy'!AH21,0)</f>
        <v>0</v>
      </c>
      <c r="AI21" s="378">
        <f>ROUNDUP('HSZ do groszy'!AI21,0)</f>
        <v>0</v>
      </c>
      <c r="AJ21" s="380">
        <f>ROUNDUP('HSZ do groszy'!AJ21,0)</f>
        <v>0</v>
      </c>
      <c r="AK21" s="378">
        <f>ROUNDUP('HSZ do groszy'!AK21,0)</f>
        <v>0</v>
      </c>
      <c r="AL21" s="380">
        <f>ROUNDUP('HSZ do groszy'!AL21,0)</f>
        <v>0</v>
      </c>
      <c r="AM21" s="378">
        <f>ROUNDUP('HSZ do groszy'!AM21,0)</f>
        <v>0</v>
      </c>
      <c r="AN21" s="380">
        <f>ROUNDUP('HSZ do groszy'!AN21,0)</f>
        <v>0</v>
      </c>
      <c r="AO21" s="378">
        <f>ROUNDUP('HSZ do groszy'!AO21,0)</f>
        <v>0</v>
      </c>
      <c r="AP21" s="380">
        <f>ROUNDUP('HSZ do groszy'!AP21,0)</f>
        <v>0</v>
      </c>
      <c r="AQ21" s="378">
        <f>ROUNDUP('HSZ do groszy'!AQ21,0)</f>
        <v>0</v>
      </c>
      <c r="AR21" s="380">
        <f>ROUNDUP('HSZ do groszy'!AR21,0)</f>
        <v>0</v>
      </c>
      <c r="AS21" s="192"/>
      <c r="AT21" s="192"/>
      <c r="AU21" s="381" t="str">
        <f t="shared" si="10"/>
        <v>WFOŚiGW 302/2006/76/OA/po/P</v>
      </c>
      <c r="AV21" s="382">
        <f t="shared" si="10"/>
        <v>917338</v>
      </c>
      <c r="AW21" s="383">
        <f t="shared" si="11"/>
        <v>185098</v>
      </c>
      <c r="AX21" s="384">
        <f t="shared" si="12"/>
        <v>3737</v>
      </c>
      <c r="AY21" s="385">
        <f t="shared" si="13"/>
        <v>188835</v>
      </c>
      <c r="AZ21" s="383">
        <f t="shared" si="14"/>
        <v>22378</v>
      </c>
      <c r="BA21" s="384">
        <f t="shared" si="15"/>
        <v>150</v>
      </c>
      <c r="BB21" s="385">
        <f t="shared" si="16"/>
        <v>22528</v>
      </c>
      <c r="BC21" s="383">
        <f t="shared" si="17"/>
        <v>0</v>
      </c>
      <c r="BD21" s="384">
        <f t="shared" si="18"/>
        <v>0</v>
      </c>
      <c r="BE21" s="385">
        <f t="shared" si="19"/>
        <v>0</v>
      </c>
      <c r="BF21" s="383">
        <f t="shared" si="20"/>
        <v>0</v>
      </c>
      <c r="BG21" s="384">
        <f t="shared" si="21"/>
        <v>0</v>
      </c>
      <c r="BH21" s="385">
        <f t="shared" si="22"/>
        <v>0</v>
      </c>
      <c r="BI21" s="383">
        <f t="shared" si="23"/>
        <v>0</v>
      </c>
      <c r="BJ21" s="384">
        <f t="shared" si="24"/>
        <v>0</v>
      </c>
      <c r="BK21" s="385">
        <f t="shared" si="25"/>
        <v>0</v>
      </c>
      <c r="BL21" s="383">
        <f t="shared" si="26"/>
        <v>0</v>
      </c>
      <c r="BM21" s="384">
        <f t="shared" si="27"/>
        <v>0</v>
      </c>
      <c r="BN21" s="385">
        <f t="shared" si="28"/>
        <v>0</v>
      </c>
      <c r="BO21" s="383">
        <f t="shared" si="29"/>
        <v>0</v>
      </c>
      <c r="BP21" s="384">
        <f t="shared" si="30"/>
        <v>0</v>
      </c>
      <c r="BQ21" s="385">
        <f t="shared" si="31"/>
        <v>0</v>
      </c>
      <c r="BR21" s="383">
        <f t="shared" si="32"/>
        <v>0</v>
      </c>
      <c r="BS21" s="384">
        <f t="shared" si="33"/>
        <v>0</v>
      </c>
      <c r="BT21" s="385">
        <f t="shared" si="34"/>
        <v>0</v>
      </c>
      <c r="BU21" s="383">
        <f t="shared" si="35"/>
        <v>0</v>
      </c>
      <c r="BV21" s="384">
        <f t="shared" si="36"/>
        <v>0</v>
      </c>
      <c r="BW21" s="385">
        <f t="shared" si="37"/>
        <v>0</v>
      </c>
      <c r="BX21" s="383">
        <f t="shared" si="38"/>
        <v>0</v>
      </c>
      <c r="BY21" s="384">
        <f t="shared" si="39"/>
        <v>0</v>
      </c>
      <c r="BZ21" s="385">
        <f t="shared" si="40"/>
        <v>0</v>
      </c>
      <c r="CA21" s="383">
        <f t="shared" si="41"/>
        <v>0</v>
      </c>
      <c r="CB21" s="384">
        <f t="shared" si="42"/>
        <v>0</v>
      </c>
      <c r="CC21" s="385">
        <f t="shared" si="43"/>
        <v>0</v>
      </c>
      <c r="CD21" s="383">
        <f t="shared" si="44"/>
        <v>0</v>
      </c>
      <c r="CE21" s="384">
        <f t="shared" si="45"/>
        <v>0</v>
      </c>
      <c r="CF21" s="385">
        <f t="shared" si="46"/>
        <v>0</v>
      </c>
      <c r="CG21" s="383">
        <f t="shared" si="47"/>
        <v>0</v>
      </c>
      <c r="CH21" s="384">
        <f t="shared" si="48"/>
        <v>0</v>
      </c>
      <c r="CI21" s="385">
        <f t="shared" si="49"/>
        <v>0</v>
      </c>
      <c r="CJ21" s="383">
        <f t="shared" si="50"/>
        <v>0</v>
      </c>
      <c r="CK21" s="384">
        <f t="shared" si="51"/>
        <v>0</v>
      </c>
      <c r="CL21" s="385">
        <f t="shared" si="52"/>
        <v>0</v>
      </c>
      <c r="CM21" s="383">
        <f t="shared" si="53"/>
        <v>0</v>
      </c>
      <c r="CN21" s="384">
        <f t="shared" si="54"/>
        <v>0</v>
      </c>
      <c r="CO21" s="385">
        <f t="shared" si="55"/>
        <v>0</v>
      </c>
      <c r="CP21" s="383">
        <f t="shared" si="56"/>
        <v>0</v>
      </c>
      <c r="CQ21" s="384">
        <f t="shared" si="57"/>
        <v>0</v>
      </c>
      <c r="CR21" s="385">
        <f t="shared" si="58"/>
        <v>0</v>
      </c>
      <c r="CS21" s="383">
        <f t="shared" si="59"/>
        <v>0</v>
      </c>
      <c r="CT21" s="384">
        <f t="shared" si="60"/>
        <v>0</v>
      </c>
      <c r="CU21" s="385">
        <f t="shared" si="61"/>
        <v>0</v>
      </c>
      <c r="CV21" s="383">
        <f t="shared" si="62"/>
        <v>0</v>
      </c>
      <c r="CW21" s="384">
        <f t="shared" si="63"/>
        <v>0</v>
      </c>
      <c r="CX21" s="385">
        <f t="shared" si="64"/>
        <v>0</v>
      </c>
    </row>
    <row r="22" spans="1:102">
      <c r="A22" s="374" t="str">
        <f>'HSZ do groszy'!A22</f>
        <v>WFOŚiGW 309/2006/76/OZ/uk/P</v>
      </c>
      <c r="B22" s="387">
        <f>ROUNDUP('HSZ do groszy'!B22,0)</f>
        <v>548278</v>
      </c>
      <c r="C22" s="376">
        <f>ROUNDUP('HSZ do groszy'!C22,0)</f>
        <v>54824</v>
      </c>
      <c r="D22" s="377">
        <f>ROUNDUP('HSZ do groszy'!D22,0)</f>
        <v>12125</v>
      </c>
      <c r="E22" s="376">
        <f t="shared" si="8"/>
        <v>315238</v>
      </c>
      <c r="F22" s="377">
        <f t="shared" si="9"/>
        <v>28374</v>
      </c>
      <c r="G22" s="376">
        <f>ROUNDUP('HSZ do groszy'!G22,0)</f>
        <v>54824</v>
      </c>
      <c r="H22" s="377">
        <f>ROUNDUP('HSZ do groszy'!H22,0)</f>
        <v>8841</v>
      </c>
      <c r="I22" s="376">
        <f>ROUNDUP('HSZ do groszy'!I22,0)</f>
        <v>54824</v>
      </c>
      <c r="J22" s="377">
        <f>ROUNDUP('HSZ do groszy'!J22,0)</f>
        <v>7196</v>
      </c>
      <c r="K22" s="378">
        <f>ROUNDUP('HSZ do groszy'!K22,0)</f>
        <v>54824</v>
      </c>
      <c r="L22" s="379">
        <f>ROUNDUP('HSZ do groszy'!L22,0)</f>
        <v>5551</v>
      </c>
      <c r="M22" s="376">
        <f>ROUNDUP('HSZ do groszy'!M22,0)</f>
        <v>54824</v>
      </c>
      <c r="N22" s="377">
        <f>ROUNDUP('HSZ do groszy'!N22,0)</f>
        <v>3907</v>
      </c>
      <c r="O22" s="378">
        <f>ROUNDUP('HSZ do groszy'!O22,0)</f>
        <v>54824</v>
      </c>
      <c r="P22" s="379">
        <f>ROUNDUP('HSZ do groszy'!P22,0)</f>
        <v>2262</v>
      </c>
      <c r="Q22" s="376">
        <f>ROUNDUP('HSZ do groszy'!Q22,0)</f>
        <v>41118</v>
      </c>
      <c r="R22" s="377">
        <f>ROUNDUP('HSZ do groszy'!R22,0)</f>
        <v>617</v>
      </c>
      <c r="S22" s="378">
        <f>ROUNDUP('HSZ do groszy'!S22,0)</f>
        <v>0</v>
      </c>
      <c r="T22" s="379">
        <f>ROUNDUP('HSZ do groszy'!T22,0)</f>
        <v>0</v>
      </c>
      <c r="U22" s="376">
        <f>ROUNDUP('HSZ do groszy'!U22,0)</f>
        <v>0</v>
      </c>
      <c r="V22" s="377">
        <f>ROUNDUP('HSZ do groszy'!V22,0)</f>
        <v>0</v>
      </c>
      <c r="W22" s="378">
        <f>ROUNDUP('HSZ do groszy'!W22,0)</f>
        <v>0</v>
      </c>
      <c r="X22" s="379">
        <f>ROUNDUP('HSZ do groszy'!X22,0)</f>
        <v>0</v>
      </c>
      <c r="Y22" s="376">
        <f>ROUNDUP('HSZ do groszy'!Y22,0)</f>
        <v>0</v>
      </c>
      <c r="Z22" s="377">
        <f>ROUNDUP('HSZ do groszy'!Z22,0)</f>
        <v>0</v>
      </c>
      <c r="AA22" s="378">
        <f>ROUNDUP('HSZ do groszy'!AA22,0)</f>
        <v>0</v>
      </c>
      <c r="AB22" s="379">
        <f>ROUNDUP('HSZ do groszy'!AB22,0)</f>
        <v>0</v>
      </c>
      <c r="AC22" s="376">
        <f>ROUNDUP('HSZ do groszy'!AC22,0)</f>
        <v>0</v>
      </c>
      <c r="AD22" s="377">
        <f>ROUNDUP('HSZ do groszy'!AD22,0)</f>
        <v>0</v>
      </c>
      <c r="AE22" s="378">
        <f>ROUNDUP('HSZ do groszy'!AE22,0)</f>
        <v>0</v>
      </c>
      <c r="AF22" s="377">
        <f>ROUNDUP('HSZ do groszy'!AF22,0)</f>
        <v>0</v>
      </c>
      <c r="AG22" s="378">
        <f>ROUNDUP('HSZ do groszy'!AG22,0)</f>
        <v>0</v>
      </c>
      <c r="AH22" s="380">
        <f>ROUNDUP('HSZ do groszy'!AH22,0)</f>
        <v>0</v>
      </c>
      <c r="AI22" s="378">
        <f>ROUNDUP('HSZ do groszy'!AI22,0)</f>
        <v>0</v>
      </c>
      <c r="AJ22" s="380">
        <f>ROUNDUP('HSZ do groszy'!AJ22,0)</f>
        <v>0</v>
      </c>
      <c r="AK22" s="378">
        <f>ROUNDUP('HSZ do groszy'!AK22,0)</f>
        <v>0</v>
      </c>
      <c r="AL22" s="380">
        <f>ROUNDUP('HSZ do groszy'!AL22,0)</f>
        <v>0</v>
      </c>
      <c r="AM22" s="378">
        <f>ROUNDUP('HSZ do groszy'!AM22,0)</f>
        <v>0</v>
      </c>
      <c r="AN22" s="380">
        <f>ROUNDUP('HSZ do groszy'!AN22,0)</f>
        <v>0</v>
      </c>
      <c r="AO22" s="378">
        <f>ROUNDUP('HSZ do groszy'!AO22,0)</f>
        <v>0</v>
      </c>
      <c r="AP22" s="380">
        <f>ROUNDUP('HSZ do groszy'!AP22,0)</f>
        <v>0</v>
      </c>
      <c r="AQ22" s="378">
        <f>ROUNDUP('HSZ do groszy'!AQ22,0)</f>
        <v>0</v>
      </c>
      <c r="AR22" s="380">
        <f>ROUNDUP('HSZ do groszy'!AR22,0)</f>
        <v>0</v>
      </c>
      <c r="AS22" s="192"/>
      <c r="AT22" s="192"/>
      <c r="AU22" s="381" t="str">
        <f t="shared" si="10"/>
        <v>WFOŚiGW 309/2006/76/OZ/uk/P</v>
      </c>
      <c r="AV22" s="382">
        <f t="shared" si="10"/>
        <v>548278</v>
      </c>
      <c r="AW22" s="383">
        <f t="shared" si="11"/>
        <v>260414</v>
      </c>
      <c r="AX22" s="384">
        <f t="shared" si="12"/>
        <v>19533</v>
      </c>
      <c r="AY22" s="385">
        <f t="shared" si="13"/>
        <v>279947</v>
      </c>
      <c r="AZ22" s="383">
        <f t="shared" si="14"/>
        <v>205590</v>
      </c>
      <c r="BA22" s="384">
        <f t="shared" si="15"/>
        <v>12337</v>
      </c>
      <c r="BB22" s="385">
        <f t="shared" si="16"/>
        <v>217927</v>
      </c>
      <c r="BC22" s="383">
        <f t="shared" si="17"/>
        <v>150766</v>
      </c>
      <c r="BD22" s="384">
        <f t="shared" si="18"/>
        <v>6786</v>
      </c>
      <c r="BE22" s="385">
        <f t="shared" si="19"/>
        <v>157552</v>
      </c>
      <c r="BF22" s="383">
        <f t="shared" si="20"/>
        <v>95942</v>
      </c>
      <c r="BG22" s="384">
        <f t="shared" si="21"/>
        <v>2879</v>
      </c>
      <c r="BH22" s="385">
        <f t="shared" si="22"/>
        <v>98821</v>
      </c>
      <c r="BI22" s="383">
        <f t="shared" si="23"/>
        <v>41118</v>
      </c>
      <c r="BJ22" s="384">
        <f t="shared" si="24"/>
        <v>617</v>
      </c>
      <c r="BK22" s="385">
        <f t="shared" si="25"/>
        <v>41735</v>
      </c>
      <c r="BL22" s="383">
        <f t="shared" si="26"/>
        <v>0</v>
      </c>
      <c r="BM22" s="384">
        <f t="shared" si="27"/>
        <v>0</v>
      </c>
      <c r="BN22" s="385">
        <f t="shared" si="28"/>
        <v>0</v>
      </c>
      <c r="BO22" s="383">
        <f t="shared" si="29"/>
        <v>0</v>
      </c>
      <c r="BP22" s="384">
        <f t="shared" si="30"/>
        <v>0</v>
      </c>
      <c r="BQ22" s="385">
        <f t="shared" si="31"/>
        <v>0</v>
      </c>
      <c r="BR22" s="383">
        <f t="shared" si="32"/>
        <v>0</v>
      </c>
      <c r="BS22" s="384">
        <f t="shared" si="33"/>
        <v>0</v>
      </c>
      <c r="BT22" s="385">
        <f t="shared" si="34"/>
        <v>0</v>
      </c>
      <c r="BU22" s="383">
        <f t="shared" si="35"/>
        <v>0</v>
      </c>
      <c r="BV22" s="384">
        <f t="shared" si="36"/>
        <v>0</v>
      </c>
      <c r="BW22" s="385">
        <f t="shared" si="37"/>
        <v>0</v>
      </c>
      <c r="BX22" s="383">
        <f t="shared" si="38"/>
        <v>0</v>
      </c>
      <c r="BY22" s="384">
        <f t="shared" si="39"/>
        <v>0</v>
      </c>
      <c r="BZ22" s="385">
        <f t="shared" si="40"/>
        <v>0</v>
      </c>
      <c r="CA22" s="383">
        <f t="shared" si="41"/>
        <v>0</v>
      </c>
      <c r="CB22" s="384">
        <f t="shared" si="42"/>
        <v>0</v>
      </c>
      <c r="CC22" s="385">
        <f t="shared" si="43"/>
        <v>0</v>
      </c>
      <c r="CD22" s="383">
        <f t="shared" si="44"/>
        <v>0</v>
      </c>
      <c r="CE22" s="384">
        <f t="shared" si="45"/>
        <v>0</v>
      </c>
      <c r="CF22" s="385">
        <f t="shared" si="46"/>
        <v>0</v>
      </c>
      <c r="CG22" s="383">
        <f t="shared" si="47"/>
        <v>0</v>
      </c>
      <c r="CH22" s="384">
        <f t="shared" si="48"/>
        <v>0</v>
      </c>
      <c r="CI22" s="385">
        <f t="shared" si="49"/>
        <v>0</v>
      </c>
      <c r="CJ22" s="383">
        <f t="shared" si="50"/>
        <v>0</v>
      </c>
      <c r="CK22" s="384">
        <f t="shared" si="51"/>
        <v>0</v>
      </c>
      <c r="CL22" s="385">
        <f t="shared" si="52"/>
        <v>0</v>
      </c>
      <c r="CM22" s="383">
        <f t="shared" si="53"/>
        <v>0</v>
      </c>
      <c r="CN22" s="384">
        <f t="shared" si="54"/>
        <v>0</v>
      </c>
      <c r="CO22" s="385">
        <f t="shared" si="55"/>
        <v>0</v>
      </c>
      <c r="CP22" s="383">
        <f t="shared" si="56"/>
        <v>0</v>
      </c>
      <c r="CQ22" s="384">
        <f t="shared" si="57"/>
        <v>0</v>
      </c>
      <c r="CR22" s="385">
        <f t="shared" si="58"/>
        <v>0</v>
      </c>
      <c r="CS22" s="383">
        <f t="shared" si="59"/>
        <v>0</v>
      </c>
      <c r="CT22" s="384">
        <f t="shared" si="60"/>
        <v>0</v>
      </c>
      <c r="CU22" s="385">
        <f t="shared" si="61"/>
        <v>0</v>
      </c>
      <c r="CV22" s="383">
        <f t="shared" si="62"/>
        <v>0</v>
      </c>
      <c r="CW22" s="384">
        <f t="shared" si="63"/>
        <v>0</v>
      </c>
      <c r="CX22" s="385">
        <f t="shared" si="64"/>
        <v>0</v>
      </c>
    </row>
    <row r="23" spans="1:102">
      <c r="A23" s="374" t="str">
        <f>'HSZ do groszy'!A23</f>
        <v>WFOŚiGW 315/2007/76/OA/no/P</v>
      </c>
      <c r="B23" s="387">
        <f>ROUNDUP('HSZ do groszy'!B23,0)</f>
        <v>222896</v>
      </c>
      <c r="C23" s="376">
        <f>ROUNDUP('HSZ do groszy'!C23,0)</f>
        <v>23480</v>
      </c>
      <c r="D23" s="377">
        <f>ROUNDUP('HSZ do groszy'!D23,0)</f>
        <v>5870</v>
      </c>
      <c r="E23" s="376">
        <f t="shared" si="8"/>
        <v>158326</v>
      </c>
      <c r="F23" s="377">
        <f t="shared" si="9"/>
        <v>16480</v>
      </c>
      <c r="G23" s="376">
        <f>ROUNDUP('HSZ do groszy'!G23,0)</f>
        <v>23480</v>
      </c>
      <c r="H23" s="377">
        <f>ROUNDUP('HSZ do groszy'!H23,0)</f>
        <v>4467</v>
      </c>
      <c r="I23" s="376">
        <f>ROUNDUP('HSZ do groszy'!I23,0)</f>
        <v>23480</v>
      </c>
      <c r="J23" s="377">
        <f>ROUNDUP('HSZ do groszy'!J23,0)</f>
        <v>3762</v>
      </c>
      <c r="K23" s="378">
        <f>ROUNDUP('HSZ do groszy'!K23,0)</f>
        <v>23480</v>
      </c>
      <c r="L23" s="379">
        <f>ROUNDUP('HSZ do groszy'!L23,0)</f>
        <v>3058</v>
      </c>
      <c r="M23" s="376">
        <f>ROUNDUP('HSZ do groszy'!M23,0)</f>
        <v>23480</v>
      </c>
      <c r="N23" s="377">
        <f>ROUNDUP('HSZ do groszy'!N23,0)</f>
        <v>2353</v>
      </c>
      <c r="O23" s="378">
        <f>ROUNDUP('HSZ do groszy'!O23,0)</f>
        <v>23480</v>
      </c>
      <c r="P23" s="379">
        <f>ROUNDUP('HSZ do groszy'!P23,0)</f>
        <v>1649</v>
      </c>
      <c r="Q23" s="376">
        <f>ROUNDUP('HSZ do groszy'!Q23,0)</f>
        <v>23480</v>
      </c>
      <c r="R23" s="377">
        <f>ROUNDUP('HSZ do groszy'!R23,0)</f>
        <v>945</v>
      </c>
      <c r="S23" s="378">
        <f>ROUNDUP('HSZ do groszy'!S23,0)</f>
        <v>17446</v>
      </c>
      <c r="T23" s="379">
        <f>ROUNDUP('HSZ do groszy'!T23,0)</f>
        <v>246</v>
      </c>
      <c r="U23" s="376">
        <f>ROUNDUP('HSZ do groszy'!U23,0)</f>
        <v>0</v>
      </c>
      <c r="V23" s="377">
        <f>ROUNDUP('HSZ do groszy'!V23,0)</f>
        <v>0</v>
      </c>
      <c r="W23" s="378">
        <f>ROUNDUP('HSZ do groszy'!W23,0)</f>
        <v>0</v>
      </c>
      <c r="X23" s="379">
        <f>ROUNDUP('HSZ do groszy'!X23,0)</f>
        <v>0</v>
      </c>
      <c r="Y23" s="376">
        <f>ROUNDUP('HSZ do groszy'!Y23,0)</f>
        <v>0</v>
      </c>
      <c r="Z23" s="377">
        <f>ROUNDUP('HSZ do groszy'!Z23,0)</f>
        <v>0</v>
      </c>
      <c r="AA23" s="378">
        <f>ROUNDUP('HSZ do groszy'!AA23,0)</f>
        <v>0</v>
      </c>
      <c r="AB23" s="379">
        <f>ROUNDUP('HSZ do groszy'!AB23,0)</f>
        <v>0</v>
      </c>
      <c r="AC23" s="376">
        <f>ROUNDUP('HSZ do groszy'!AC23,0)</f>
        <v>0</v>
      </c>
      <c r="AD23" s="377">
        <f>ROUNDUP('HSZ do groszy'!AD23,0)</f>
        <v>0</v>
      </c>
      <c r="AE23" s="378">
        <f>ROUNDUP('HSZ do groszy'!AE23,0)</f>
        <v>0</v>
      </c>
      <c r="AF23" s="377">
        <f>ROUNDUP('HSZ do groszy'!AF23,0)</f>
        <v>0</v>
      </c>
      <c r="AG23" s="378">
        <f>ROUNDUP('HSZ do groszy'!AG23,0)</f>
        <v>0</v>
      </c>
      <c r="AH23" s="380">
        <f>ROUNDUP('HSZ do groszy'!AH23,0)</f>
        <v>0</v>
      </c>
      <c r="AI23" s="378">
        <f>ROUNDUP('HSZ do groszy'!AI23,0)</f>
        <v>0</v>
      </c>
      <c r="AJ23" s="380">
        <f>ROUNDUP('HSZ do groszy'!AJ23,0)</f>
        <v>0</v>
      </c>
      <c r="AK23" s="378">
        <f>ROUNDUP('HSZ do groszy'!AK23,0)</f>
        <v>0</v>
      </c>
      <c r="AL23" s="380">
        <f>ROUNDUP('HSZ do groszy'!AL23,0)</f>
        <v>0</v>
      </c>
      <c r="AM23" s="378">
        <f>ROUNDUP('HSZ do groszy'!AM23,0)</f>
        <v>0</v>
      </c>
      <c r="AN23" s="380">
        <f>ROUNDUP('HSZ do groszy'!AN23,0)</f>
        <v>0</v>
      </c>
      <c r="AO23" s="378">
        <f>ROUNDUP('HSZ do groszy'!AO23,0)</f>
        <v>0</v>
      </c>
      <c r="AP23" s="380">
        <f>ROUNDUP('HSZ do groszy'!AP23,0)</f>
        <v>0</v>
      </c>
      <c r="AQ23" s="378">
        <f>ROUNDUP('HSZ do groszy'!AQ23,0)</f>
        <v>0</v>
      </c>
      <c r="AR23" s="380">
        <f>ROUNDUP('HSZ do groszy'!AR23,0)</f>
        <v>0</v>
      </c>
      <c r="AS23" s="192"/>
      <c r="AT23" s="192"/>
      <c r="AU23" s="381" t="str">
        <f t="shared" si="10"/>
        <v>WFOŚiGW 315/2007/76/OA/no/P</v>
      </c>
      <c r="AV23" s="382">
        <f t="shared" si="10"/>
        <v>222896</v>
      </c>
      <c r="AW23" s="383">
        <f t="shared" si="11"/>
        <v>134846</v>
      </c>
      <c r="AX23" s="384">
        <f t="shared" si="12"/>
        <v>12013</v>
      </c>
      <c r="AY23" s="385">
        <f t="shared" si="13"/>
        <v>146859</v>
      </c>
      <c r="AZ23" s="383">
        <f t="shared" si="14"/>
        <v>111366</v>
      </c>
      <c r="BA23" s="384">
        <f t="shared" si="15"/>
        <v>8251</v>
      </c>
      <c r="BB23" s="385">
        <f t="shared" si="16"/>
        <v>119617</v>
      </c>
      <c r="BC23" s="383">
        <f t="shared" si="17"/>
        <v>87886</v>
      </c>
      <c r="BD23" s="384">
        <f t="shared" si="18"/>
        <v>5193</v>
      </c>
      <c r="BE23" s="385">
        <f t="shared" si="19"/>
        <v>93079</v>
      </c>
      <c r="BF23" s="383">
        <f t="shared" si="20"/>
        <v>64406</v>
      </c>
      <c r="BG23" s="384">
        <f t="shared" si="21"/>
        <v>2840</v>
      </c>
      <c r="BH23" s="385">
        <f t="shared" si="22"/>
        <v>67246</v>
      </c>
      <c r="BI23" s="383">
        <f t="shared" si="23"/>
        <v>40926</v>
      </c>
      <c r="BJ23" s="384">
        <f t="shared" si="24"/>
        <v>1191</v>
      </c>
      <c r="BK23" s="385">
        <f t="shared" si="25"/>
        <v>42117</v>
      </c>
      <c r="BL23" s="383">
        <f t="shared" si="26"/>
        <v>17446</v>
      </c>
      <c r="BM23" s="384">
        <f t="shared" si="27"/>
        <v>246</v>
      </c>
      <c r="BN23" s="385">
        <f t="shared" si="28"/>
        <v>17692</v>
      </c>
      <c r="BO23" s="383">
        <f t="shared" si="29"/>
        <v>0</v>
      </c>
      <c r="BP23" s="384">
        <f t="shared" si="30"/>
        <v>0</v>
      </c>
      <c r="BQ23" s="385">
        <f t="shared" si="31"/>
        <v>0</v>
      </c>
      <c r="BR23" s="383">
        <f t="shared" si="32"/>
        <v>0</v>
      </c>
      <c r="BS23" s="384">
        <f t="shared" si="33"/>
        <v>0</v>
      </c>
      <c r="BT23" s="385">
        <f t="shared" si="34"/>
        <v>0</v>
      </c>
      <c r="BU23" s="383">
        <f t="shared" si="35"/>
        <v>0</v>
      </c>
      <c r="BV23" s="384">
        <f t="shared" si="36"/>
        <v>0</v>
      </c>
      <c r="BW23" s="385">
        <f t="shared" si="37"/>
        <v>0</v>
      </c>
      <c r="BX23" s="383">
        <f t="shared" si="38"/>
        <v>0</v>
      </c>
      <c r="BY23" s="384">
        <f t="shared" si="39"/>
        <v>0</v>
      </c>
      <c r="BZ23" s="385">
        <f t="shared" si="40"/>
        <v>0</v>
      </c>
      <c r="CA23" s="383">
        <f t="shared" si="41"/>
        <v>0</v>
      </c>
      <c r="CB23" s="384">
        <f t="shared" si="42"/>
        <v>0</v>
      </c>
      <c r="CC23" s="385">
        <f t="shared" si="43"/>
        <v>0</v>
      </c>
      <c r="CD23" s="383">
        <f t="shared" si="44"/>
        <v>0</v>
      </c>
      <c r="CE23" s="384">
        <f t="shared" si="45"/>
        <v>0</v>
      </c>
      <c r="CF23" s="385">
        <f t="shared" si="46"/>
        <v>0</v>
      </c>
      <c r="CG23" s="383">
        <f t="shared" si="47"/>
        <v>0</v>
      </c>
      <c r="CH23" s="384">
        <f t="shared" si="48"/>
        <v>0</v>
      </c>
      <c r="CI23" s="385">
        <f t="shared" si="49"/>
        <v>0</v>
      </c>
      <c r="CJ23" s="383">
        <f t="shared" si="50"/>
        <v>0</v>
      </c>
      <c r="CK23" s="384">
        <f t="shared" si="51"/>
        <v>0</v>
      </c>
      <c r="CL23" s="385">
        <f t="shared" si="52"/>
        <v>0</v>
      </c>
      <c r="CM23" s="383">
        <f t="shared" si="53"/>
        <v>0</v>
      </c>
      <c r="CN23" s="384">
        <f t="shared" si="54"/>
        <v>0</v>
      </c>
      <c r="CO23" s="385">
        <f t="shared" si="55"/>
        <v>0</v>
      </c>
      <c r="CP23" s="383">
        <f t="shared" si="56"/>
        <v>0</v>
      </c>
      <c r="CQ23" s="384">
        <f t="shared" si="57"/>
        <v>0</v>
      </c>
      <c r="CR23" s="385">
        <f t="shared" si="58"/>
        <v>0</v>
      </c>
      <c r="CS23" s="383">
        <f t="shared" si="59"/>
        <v>0</v>
      </c>
      <c r="CT23" s="384">
        <f t="shared" si="60"/>
        <v>0</v>
      </c>
      <c r="CU23" s="385">
        <f t="shared" si="61"/>
        <v>0</v>
      </c>
      <c r="CV23" s="383">
        <f t="shared" si="62"/>
        <v>0</v>
      </c>
      <c r="CW23" s="384">
        <f t="shared" si="63"/>
        <v>0</v>
      </c>
      <c r="CX23" s="385">
        <f t="shared" si="64"/>
        <v>0</v>
      </c>
    </row>
    <row r="24" spans="1:102">
      <c r="A24" s="374" t="str">
        <f>'HSZ do groszy'!A24</f>
        <v>WFOŚiGW 1302/2006/76/OA/po/P</v>
      </c>
      <c r="B24" s="375">
        <f>ROUNDUP('HSZ do groszy'!B24,0)</f>
        <v>141744</v>
      </c>
      <c r="C24" s="376">
        <f>ROUNDUP('HSZ do groszy'!C24,0)</f>
        <v>0</v>
      </c>
      <c r="D24" s="377">
        <f>ROUNDUP('HSZ do groszy'!D24,0)</f>
        <v>4253</v>
      </c>
      <c r="E24" s="376">
        <f t="shared" si="8"/>
        <v>141745</v>
      </c>
      <c r="F24" s="377">
        <f t="shared" si="9"/>
        <v>11329</v>
      </c>
      <c r="G24" s="376">
        <f>ROUNDUP('HSZ do groszy'!G24,0)</f>
        <v>0</v>
      </c>
      <c r="H24" s="377">
        <f>ROUNDUP('HSZ do groszy'!H24,0)</f>
        <v>4253</v>
      </c>
      <c r="I24" s="376">
        <f>ROUNDUP('HSZ do groszy'!I24,0)</f>
        <v>0</v>
      </c>
      <c r="J24" s="377">
        <f>ROUNDUP('HSZ do groszy'!J24,0)</f>
        <v>4253</v>
      </c>
      <c r="K24" s="378">
        <f>ROUNDUP('HSZ do groszy'!K24,0)</f>
        <v>140343</v>
      </c>
      <c r="L24" s="379">
        <f>ROUNDUP('HSZ do groszy'!L24,0)</f>
        <v>2813</v>
      </c>
      <c r="M24" s="376">
        <f>ROUNDUP('HSZ do groszy'!M24,0)</f>
        <v>1402</v>
      </c>
      <c r="N24" s="377">
        <f>ROUNDUP('HSZ do groszy'!N24,0)</f>
        <v>10</v>
      </c>
      <c r="O24" s="378">
        <f>ROUNDUP('HSZ do groszy'!O24,0)</f>
        <v>0</v>
      </c>
      <c r="P24" s="379">
        <f>ROUNDUP('HSZ do groszy'!P24,0)</f>
        <v>0</v>
      </c>
      <c r="Q24" s="376">
        <f>ROUNDUP('HSZ do groszy'!Q24,0)</f>
        <v>0</v>
      </c>
      <c r="R24" s="377">
        <f>ROUNDUP('HSZ do groszy'!R24,0)</f>
        <v>0</v>
      </c>
      <c r="S24" s="378">
        <f>ROUNDUP('HSZ do groszy'!S24,0)</f>
        <v>0</v>
      </c>
      <c r="T24" s="379">
        <f>ROUNDUP('HSZ do groszy'!T24,0)</f>
        <v>0</v>
      </c>
      <c r="U24" s="376">
        <f>ROUNDUP('HSZ do groszy'!U24,0)</f>
        <v>0</v>
      </c>
      <c r="V24" s="377">
        <f>ROUNDUP('HSZ do groszy'!V24,0)</f>
        <v>0</v>
      </c>
      <c r="W24" s="378">
        <f>ROUNDUP('HSZ do groszy'!W24,0)</f>
        <v>0</v>
      </c>
      <c r="X24" s="379">
        <f>ROUNDUP('HSZ do groszy'!X24,0)</f>
        <v>0</v>
      </c>
      <c r="Y24" s="376">
        <f>ROUNDUP('HSZ do groszy'!Y24,0)</f>
        <v>0</v>
      </c>
      <c r="Z24" s="377">
        <f>ROUNDUP('HSZ do groszy'!Z24,0)</f>
        <v>0</v>
      </c>
      <c r="AA24" s="378">
        <f>ROUNDUP('HSZ do groszy'!AA24,0)</f>
        <v>0</v>
      </c>
      <c r="AB24" s="379">
        <f>ROUNDUP('HSZ do groszy'!AB24,0)</f>
        <v>0</v>
      </c>
      <c r="AC24" s="376">
        <f>ROUNDUP('HSZ do groszy'!AC24,0)</f>
        <v>0</v>
      </c>
      <c r="AD24" s="377">
        <f>ROUNDUP('HSZ do groszy'!AD24,0)</f>
        <v>0</v>
      </c>
      <c r="AE24" s="378">
        <f>ROUNDUP('HSZ do groszy'!AE24,0)</f>
        <v>0</v>
      </c>
      <c r="AF24" s="377">
        <f>ROUNDUP('HSZ do groszy'!AF24,0)</f>
        <v>0</v>
      </c>
      <c r="AG24" s="378">
        <f>ROUNDUP('HSZ do groszy'!AG24,0)</f>
        <v>0</v>
      </c>
      <c r="AH24" s="380">
        <f>ROUNDUP('HSZ do groszy'!AH24,0)</f>
        <v>0</v>
      </c>
      <c r="AI24" s="378">
        <f>ROUNDUP('HSZ do groszy'!AI24,0)</f>
        <v>0</v>
      </c>
      <c r="AJ24" s="380">
        <f>ROUNDUP('HSZ do groszy'!AJ24,0)</f>
        <v>0</v>
      </c>
      <c r="AK24" s="378">
        <f>ROUNDUP('HSZ do groszy'!AK24,0)</f>
        <v>0</v>
      </c>
      <c r="AL24" s="380">
        <f>ROUNDUP('HSZ do groszy'!AL24,0)</f>
        <v>0</v>
      </c>
      <c r="AM24" s="378">
        <f>ROUNDUP('HSZ do groszy'!AM24,0)</f>
        <v>0</v>
      </c>
      <c r="AN24" s="380">
        <f>ROUNDUP('HSZ do groszy'!AN24,0)</f>
        <v>0</v>
      </c>
      <c r="AO24" s="378">
        <f>ROUNDUP('HSZ do groszy'!AO24,0)</f>
        <v>0</v>
      </c>
      <c r="AP24" s="380">
        <f>ROUNDUP('HSZ do groszy'!AP24,0)</f>
        <v>0</v>
      </c>
      <c r="AQ24" s="378">
        <f>ROUNDUP('HSZ do groszy'!AQ24,0)</f>
        <v>0</v>
      </c>
      <c r="AR24" s="380">
        <f>ROUNDUP('HSZ do groszy'!AR24,0)</f>
        <v>0</v>
      </c>
      <c r="AS24" s="192"/>
      <c r="AT24" s="192"/>
      <c r="AU24" s="381" t="str">
        <f t="shared" si="10"/>
        <v>WFOŚiGW 1302/2006/76/OA/po/P</v>
      </c>
      <c r="AV24" s="382">
        <f t="shared" si="10"/>
        <v>141744</v>
      </c>
      <c r="AW24" s="383">
        <f t="shared" si="11"/>
        <v>141745</v>
      </c>
      <c r="AX24" s="384">
        <f t="shared" si="12"/>
        <v>7076</v>
      </c>
      <c r="AY24" s="385">
        <f t="shared" si="13"/>
        <v>148821</v>
      </c>
      <c r="AZ24" s="383">
        <f t="shared" si="14"/>
        <v>141745</v>
      </c>
      <c r="BA24" s="384">
        <f t="shared" si="15"/>
        <v>2823</v>
      </c>
      <c r="BB24" s="385">
        <f t="shared" si="16"/>
        <v>144568</v>
      </c>
      <c r="BC24" s="383">
        <f t="shared" si="17"/>
        <v>1402</v>
      </c>
      <c r="BD24" s="384">
        <f t="shared" si="18"/>
        <v>10</v>
      </c>
      <c r="BE24" s="385">
        <f t="shared" si="19"/>
        <v>1412</v>
      </c>
      <c r="BF24" s="383">
        <f t="shared" si="20"/>
        <v>0</v>
      </c>
      <c r="BG24" s="384">
        <f t="shared" si="21"/>
        <v>0</v>
      </c>
      <c r="BH24" s="385">
        <f t="shared" si="22"/>
        <v>0</v>
      </c>
      <c r="BI24" s="383">
        <f t="shared" si="23"/>
        <v>0</v>
      </c>
      <c r="BJ24" s="384">
        <f t="shared" si="24"/>
        <v>0</v>
      </c>
      <c r="BK24" s="385">
        <f t="shared" si="25"/>
        <v>0</v>
      </c>
      <c r="BL24" s="383">
        <f t="shared" si="26"/>
        <v>0</v>
      </c>
      <c r="BM24" s="384">
        <f t="shared" si="27"/>
        <v>0</v>
      </c>
      <c r="BN24" s="385">
        <f t="shared" si="28"/>
        <v>0</v>
      </c>
      <c r="BO24" s="383">
        <f t="shared" si="29"/>
        <v>0</v>
      </c>
      <c r="BP24" s="384">
        <f t="shared" si="30"/>
        <v>0</v>
      </c>
      <c r="BQ24" s="385">
        <f t="shared" si="31"/>
        <v>0</v>
      </c>
      <c r="BR24" s="383">
        <f t="shared" si="32"/>
        <v>0</v>
      </c>
      <c r="BS24" s="384">
        <f t="shared" si="33"/>
        <v>0</v>
      </c>
      <c r="BT24" s="385">
        <f t="shared" si="34"/>
        <v>0</v>
      </c>
      <c r="BU24" s="383">
        <f t="shared" si="35"/>
        <v>0</v>
      </c>
      <c r="BV24" s="384">
        <f t="shared" si="36"/>
        <v>0</v>
      </c>
      <c r="BW24" s="385">
        <f t="shared" si="37"/>
        <v>0</v>
      </c>
      <c r="BX24" s="383">
        <f t="shared" si="38"/>
        <v>0</v>
      </c>
      <c r="BY24" s="384">
        <f t="shared" si="39"/>
        <v>0</v>
      </c>
      <c r="BZ24" s="385">
        <f t="shared" si="40"/>
        <v>0</v>
      </c>
      <c r="CA24" s="383">
        <f t="shared" si="41"/>
        <v>0</v>
      </c>
      <c r="CB24" s="384">
        <f t="shared" si="42"/>
        <v>0</v>
      </c>
      <c r="CC24" s="385">
        <f t="shared" si="43"/>
        <v>0</v>
      </c>
      <c r="CD24" s="383">
        <f t="shared" si="44"/>
        <v>0</v>
      </c>
      <c r="CE24" s="384">
        <f t="shared" si="45"/>
        <v>0</v>
      </c>
      <c r="CF24" s="385">
        <f t="shared" si="46"/>
        <v>0</v>
      </c>
      <c r="CG24" s="383">
        <f t="shared" si="47"/>
        <v>0</v>
      </c>
      <c r="CH24" s="384">
        <f t="shared" si="48"/>
        <v>0</v>
      </c>
      <c r="CI24" s="385">
        <f t="shared" si="49"/>
        <v>0</v>
      </c>
      <c r="CJ24" s="383">
        <f t="shared" si="50"/>
        <v>0</v>
      </c>
      <c r="CK24" s="384">
        <f t="shared" si="51"/>
        <v>0</v>
      </c>
      <c r="CL24" s="385">
        <f t="shared" si="52"/>
        <v>0</v>
      </c>
      <c r="CM24" s="383">
        <f t="shared" si="53"/>
        <v>0</v>
      </c>
      <c r="CN24" s="384">
        <f t="shared" si="54"/>
        <v>0</v>
      </c>
      <c r="CO24" s="385">
        <f t="shared" si="55"/>
        <v>0</v>
      </c>
      <c r="CP24" s="383">
        <f t="shared" si="56"/>
        <v>0</v>
      </c>
      <c r="CQ24" s="384">
        <f t="shared" si="57"/>
        <v>0</v>
      </c>
      <c r="CR24" s="385">
        <f t="shared" si="58"/>
        <v>0</v>
      </c>
      <c r="CS24" s="383">
        <f t="shared" si="59"/>
        <v>0</v>
      </c>
      <c r="CT24" s="384">
        <f t="shared" si="60"/>
        <v>0</v>
      </c>
      <c r="CU24" s="385">
        <f t="shared" si="61"/>
        <v>0</v>
      </c>
      <c r="CV24" s="383">
        <f t="shared" si="62"/>
        <v>0</v>
      </c>
      <c r="CW24" s="384">
        <f t="shared" si="63"/>
        <v>0</v>
      </c>
      <c r="CX24" s="385">
        <f t="shared" si="64"/>
        <v>0</v>
      </c>
    </row>
    <row r="25" spans="1:102">
      <c r="A25" s="374" t="str">
        <f>'HSZ do groszy'!A25</f>
        <v xml:space="preserve"> -</v>
      </c>
      <c r="B25" s="387"/>
      <c r="C25" s="376"/>
      <c r="D25" s="377"/>
      <c r="E25" s="376"/>
      <c r="F25" s="377"/>
      <c r="G25" s="376"/>
      <c r="H25" s="377"/>
      <c r="I25" s="376"/>
      <c r="J25" s="377"/>
      <c r="K25" s="378"/>
      <c r="L25" s="379"/>
      <c r="M25" s="376"/>
      <c r="N25" s="377"/>
      <c r="O25" s="378"/>
      <c r="P25" s="379"/>
      <c r="Q25" s="376"/>
      <c r="R25" s="377"/>
      <c r="S25" s="378"/>
      <c r="T25" s="379"/>
      <c r="U25" s="376"/>
      <c r="V25" s="377"/>
      <c r="W25" s="378"/>
      <c r="X25" s="379"/>
      <c r="Y25" s="376"/>
      <c r="Z25" s="377"/>
      <c r="AA25" s="378"/>
      <c r="AB25" s="379"/>
      <c r="AC25" s="376"/>
      <c r="AD25" s="377"/>
      <c r="AE25" s="378"/>
      <c r="AF25" s="377"/>
      <c r="AG25" s="378"/>
      <c r="AH25" s="380"/>
      <c r="AI25" s="378"/>
      <c r="AJ25" s="380"/>
      <c r="AK25" s="378"/>
      <c r="AL25" s="380"/>
      <c r="AM25" s="378"/>
      <c r="AN25" s="380"/>
      <c r="AO25" s="378"/>
      <c r="AP25" s="380"/>
      <c r="AQ25" s="378"/>
      <c r="AR25" s="380"/>
      <c r="AS25" s="192"/>
      <c r="AT25" s="192"/>
      <c r="AU25" s="381" t="str">
        <f t="shared" si="10"/>
        <v xml:space="preserve"> -</v>
      </c>
      <c r="AV25" s="382">
        <f t="shared" si="10"/>
        <v>0</v>
      </c>
      <c r="AW25" s="383">
        <f t="shared" si="11"/>
        <v>0</v>
      </c>
      <c r="AX25" s="384">
        <f t="shared" si="12"/>
        <v>0</v>
      </c>
      <c r="AY25" s="385">
        <f t="shared" si="13"/>
        <v>0</v>
      </c>
      <c r="AZ25" s="383">
        <f t="shared" si="14"/>
        <v>0</v>
      </c>
      <c r="BA25" s="384">
        <f t="shared" si="15"/>
        <v>0</v>
      </c>
      <c r="BB25" s="385">
        <f t="shared" si="16"/>
        <v>0</v>
      </c>
      <c r="BC25" s="383">
        <f t="shared" si="17"/>
        <v>0</v>
      </c>
      <c r="BD25" s="384">
        <f t="shared" si="18"/>
        <v>0</v>
      </c>
      <c r="BE25" s="385">
        <f t="shared" si="19"/>
        <v>0</v>
      </c>
      <c r="BF25" s="383">
        <f t="shared" si="20"/>
        <v>0</v>
      </c>
      <c r="BG25" s="384">
        <f t="shared" si="21"/>
        <v>0</v>
      </c>
      <c r="BH25" s="385">
        <f t="shared" si="22"/>
        <v>0</v>
      </c>
      <c r="BI25" s="383">
        <f t="shared" si="23"/>
        <v>0</v>
      </c>
      <c r="BJ25" s="384">
        <f t="shared" si="24"/>
        <v>0</v>
      </c>
      <c r="BK25" s="385">
        <f t="shared" si="25"/>
        <v>0</v>
      </c>
      <c r="BL25" s="383">
        <f t="shared" si="26"/>
        <v>0</v>
      </c>
      <c r="BM25" s="384">
        <f t="shared" si="27"/>
        <v>0</v>
      </c>
      <c r="BN25" s="385">
        <f t="shared" si="28"/>
        <v>0</v>
      </c>
      <c r="BO25" s="383">
        <f t="shared" si="29"/>
        <v>0</v>
      </c>
      <c r="BP25" s="384">
        <f t="shared" si="30"/>
        <v>0</v>
      </c>
      <c r="BQ25" s="385">
        <f t="shared" si="31"/>
        <v>0</v>
      </c>
      <c r="BR25" s="383">
        <f t="shared" si="32"/>
        <v>0</v>
      </c>
      <c r="BS25" s="384">
        <f t="shared" si="33"/>
        <v>0</v>
      </c>
      <c r="BT25" s="385">
        <f t="shared" si="34"/>
        <v>0</v>
      </c>
      <c r="BU25" s="383">
        <f t="shared" si="35"/>
        <v>0</v>
      </c>
      <c r="BV25" s="384">
        <f t="shared" si="36"/>
        <v>0</v>
      </c>
      <c r="BW25" s="385">
        <f t="shared" si="37"/>
        <v>0</v>
      </c>
      <c r="BX25" s="383">
        <f t="shared" si="38"/>
        <v>0</v>
      </c>
      <c r="BY25" s="384">
        <f t="shared" si="39"/>
        <v>0</v>
      </c>
      <c r="BZ25" s="385">
        <f t="shared" si="40"/>
        <v>0</v>
      </c>
      <c r="CA25" s="383">
        <f t="shared" si="41"/>
        <v>0</v>
      </c>
      <c r="CB25" s="384">
        <f t="shared" si="42"/>
        <v>0</v>
      </c>
      <c r="CC25" s="385">
        <f t="shared" si="43"/>
        <v>0</v>
      </c>
      <c r="CD25" s="383">
        <f t="shared" si="44"/>
        <v>0</v>
      </c>
      <c r="CE25" s="384">
        <f t="shared" si="45"/>
        <v>0</v>
      </c>
      <c r="CF25" s="385">
        <f t="shared" si="46"/>
        <v>0</v>
      </c>
      <c r="CG25" s="383">
        <f t="shared" si="47"/>
        <v>0</v>
      </c>
      <c r="CH25" s="384">
        <f t="shared" si="48"/>
        <v>0</v>
      </c>
      <c r="CI25" s="385">
        <f t="shared" si="49"/>
        <v>0</v>
      </c>
      <c r="CJ25" s="383">
        <f t="shared" si="50"/>
        <v>0</v>
      </c>
      <c r="CK25" s="384">
        <f t="shared" si="51"/>
        <v>0</v>
      </c>
      <c r="CL25" s="385">
        <f t="shared" si="52"/>
        <v>0</v>
      </c>
      <c r="CM25" s="383">
        <f t="shared" si="53"/>
        <v>0</v>
      </c>
      <c r="CN25" s="384">
        <f t="shared" si="54"/>
        <v>0</v>
      </c>
      <c r="CO25" s="385">
        <f t="shared" si="55"/>
        <v>0</v>
      </c>
      <c r="CP25" s="383">
        <f t="shared" si="56"/>
        <v>0</v>
      </c>
      <c r="CQ25" s="384">
        <f t="shared" si="57"/>
        <v>0</v>
      </c>
      <c r="CR25" s="385">
        <f t="shared" si="58"/>
        <v>0</v>
      </c>
      <c r="CS25" s="383">
        <f t="shared" si="59"/>
        <v>0</v>
      </c>
      <c r="CT25" s="384">
        <f t="shared" si="60"/>
        <v>0</v>
      </c>
      <c r="CU25" s="385">
        <f t="shared" si="61"/>
        <v>0</v>
      </c>
      <c r="CV25" s="383">
        <f t="shared" si="62"/>
        <v>0</v>
      </c>
      <c r="CW25" s="384">
        <f t="shared" si="63"/>
        <v>0</v>
      </c>
      <c r="CX25" s="385">
        <f t="shared" si="64"/>
        <v>0</v>
      </c>
    </row>
    <row r="26" spans="1:102">
      <c r="A26" s="374" t="str">
        <f>'HSZ do groszy'!A26</f>
        <v xml:space="preserve"> -</v>
      </c>
      <c r="B26" s="387"/>
      <c r="C26" s="376"/>
      <c r="D26" s="377"/>
      <c r="E26" s="376"/>
      <c r="F26" s="377"/>
      <c r="G26" s="376"/>
      <c r="H26" s="377"/>
      <c r="I26" s="376"/>
      <c r="J26" s="377"/>
      <c r="K26" s="378"/>
      <c r="L26" s="379"/>
      <c r="M26" s="376"/>
      <c r="N26" s="377"/>
      <c r="O26" s="378"/>
      <c r="P26" s="379"/>
      <c r="Q26" s="376"/>
      <c r="R26" s="377"/>
      <c r="S26" s="378"/>
      <c r="T26" s="379"/>
      <c r="U26" s="376"/>
      <c r="V26" s="377"/>
      <c r="W26" s="378"/>
      <c r="X26" s="379"/>
      <c r="Y26" s="376"/>
      <c r="Z26" s="377"/>
      <c r="AA26" s="378"/>
      <c r="AB26" s="379"/>
      <c r="AC26" s="376"/>
      <c r="AD26" s="377"/>
      <c r="AE26" s="378"/>
      <c r="AF26" s="377"/>
      <c r="AG26" s="378"/>
      <c r="AH26" s="380"/>
      <c r="AI26" s="378"/>
      <c r="AJ26" s="380"/>
      <c r="AK26" s="378"/>
      <c r="AL26" s="380"/>
      <c r="AM26" s="378"/>
      <c r="AN26" s="380"/>
      <c r="AO26" s="378"/>
      <c r="AP26" s="380"/>
      <c r="AQ26" s="378"/>
      <c r="AR26" s="380"/>
      <c r="AS26" s="192"/>
      <c r="AT26" s="192"/>
      <c r="AU26" s="381" t="str">
        <f t="shared" si="10"/>
        <v xml:space="preserve"> -</v>
      </c>
      <c r="AV26" s="382">
        <f t="shared" si="10"/>
        <v>0</v>
      </c>
      <c r="AW26" s="383">
        <f t="shared" si="11"/>
        <v>0</v>
      </c>
      <c r="AX26" s="384">
        <f t="shared" si="12"/>
        <v>0</v>
      </c>
      <c r="AY26" s="385">
        <f t="shared" si="13"/>
        <v>0</v>
      </c>
      <c r="AZ26" s="383">
        <f t="shared" si="14"/>
        <v>0</v>
      </c>
      <c r="BA26" s="384">
        <f t="shared" si="15"/>
        <v>0</v>
      </c>
      <c r="BB26" s="385">
        <f t="shared" si="16"/>
        <v>0</v>
      </c>
      <c r="BC26" s="383">
        <f t="shared" si="17"/>
        <v>0</v>
      </c>
      <c r="BD26" s="384">
        <f t="shared" si="18"/>
        <v>0</v>
      </c>
      <c r="BE26" s="385">
        <f t="shared" si="19"/>
        <v>0</v>
      </c>
      <c r="BF26" s="383">
        <f t="shared" si="20"/>
        <v>0</v>
      </c>
      <c r="BG26" s="384">
        <f t="shared" si="21"/>
        <v>0</v>
      </c>
      <c r="BH26" s="385">
        <f t="shared" si="22"/>
        <v>0</v>
      </c>
      <c r="BI26" s="383">
        <f t="shared" si="23"/>
        <v>0</v>
      </c>
      <c r="BJ26" s="384">
        <f t="shared" si="24"/>
        <v>0</v>
      </c>
      <c r="BK26" s="385">
        <f t="shared" si="25"/>
        <v>0</v>
      </c>
      <c r="BL26" s="383">
        <f t="shared" si="26"/>
        <v>0</v>
      </c>
      <c r="BM26" s="384">
        <f t="shared" si="27"/>
        <v>0</v>
      </c>
      <c r="BN26" s="385">
        <f t="shared" si="28"/>
        <v>0</v>
      </c>
      <c r="BO26" s="383">
        <f t="shared" si="29"/>
        <v>0</v>
      </c>
      <c r="BP26" s="384">
        <f t="shared" si="30"/>
        <v>0</v>
      </c>
      <c r="BQ26" s="385">
        <f t="shared" si="31"/>
        <v>0</v>
      </c>
      <c r="BR26" s="383">
        <f t="shared" si="32"/>
        <v>0</v>
      </c>
      <c r="BS26" s="384">
        <f t="shared" si="33"/>
        <v>0</v>
      </c>
      <c r="BT26" s="385">
        <f t="shared" si="34"/>
        <v>0</v>
      </c>
      <c r="BU26" s="383">
        <f t="shared" si="35"/>
        <v>0</v>
      </c>
      <c r="BV26" s="384">
        <f t="shared" si="36"/>
        <v>0</v>
      </c>
      <c r="BW26" s="385">
        <f t="shared" si="37"/>
        <v>0</v>
      </c>
      <c r="BX26" s="383">
        <f t="shared" si="38"/>
        <v>0</v>
      </c>
      <c r="BY26" s="384">
        <f t="shared" si="39"/>
        <v>0</v>
      </c>
      <c r="BZ26" s="385">
        <f t="shared" si="40"/>
        <v>0</v>
      </c>
      <c r="CA26" s="383">
        <f t="shared" si="41"/>
        <v>0</v>
      </c>
      <c r="CB26" s="384">
        <f t="shared" si="42"/>
        <v>0</v>
      </c>
      <c r="CC26" s="385">
        <f t="shared" si="43"/>
        <v>0</v>
      </c>
      <c r="CD26" s="383">
        <f t="shared" si="44"/>
        <v>0</v>
      </c>
      <c r="CE26" s="384">
        <f t="shared" si="45"/>
        <v>0</v>
      </c>
      <c r="CF26" s="385">
        <f t="shared" si="46"/>
        <v>0</v>
      </c>
      <c r="CG26" s="383">
        <f t="shared" si="47"/>
        <v>0</v>
      </c>
      <c r="CH26" s="384">
        <f t="shared" si="48"/>
        <v>0</v>
      </c>
      <c r="CI26" s="385">
        <f t="shared" si="49"/>
        <v>0</v>
      </c>
      <c r="CJ26" s="383">
        <f t="shared" si="50"/>
        <v>0</v>
      </c>
      <c r="CK26" s="384">
        <f t="shared" si="51"/>
        <v>0</v>
      </c>
      <c r="CL26" s="385">
        <f t="shared" si="52"/>
        <v>0</v>
      </c>
      <c r="CM26" s="383">
        <f t="shared" si="53"/>
        <v>0</v>
      </c>
      <c r="CN26" s="384">
        <f t="shared" si="54"/>
        <v>0</v>
      </c>
      <c r="CO26" s="385">
        <f t="shared" si="55"/>
        <v>0</v>
      </c>
      <c r="CP26" s="383">
        <f t="shared" si="56"/>
        <v>0</v>
      </c>
      <c r="CQ26" s="384">
        <f t="shared" si="57"/>
        <v>0</v>
      </c>
      <c r="CR26" s="385">
        <f t="shared" si="58"/>
        <v>0</v>
      </c>
      <c r="CS26" s="383">
        <f t="shared" si="59"/>
        <v>0</v>
      </c>
      <c r="CT26" s="384">
        <f t="shared" si="60"/>
        <v>0</v>
      </c>
      <c r="CU26" s="385">
        <f t="shared" si="61"/>
        <v>0</v>
      </c>
      <c r="CV26" s="383">
        <f t="shared" si="62"/>
        <v>0</v>
      </c>
      <c r="CW26" s="384">
        <f t="shared" si="63"/>
        <v>0</v>
      </c>
      <c r="CX26" s="385">
        <f t="shared" si="64"/>
        <v>0</v>
      </c>
    </row>
    <row r="27" spans="1:102">
      <c r="A27" s="374" t="str">
        <f>'HSZ do groszy'!A27</f>
        <v>pożyczka 2013</v>
      </c>
      <c r="B27" s="375">
        <f>ROUNDUP('HSZ do groszy'!B27,0)</f>
        <v>0</v>
      </c>
      <c r="C27" s="376">
        <f>ROUNDUP('HSZ do groszy'!C27,0)</f>
        <v>0</v>
      </c>
      <c r="D27" s="377">
        <f>ROUNDUP('HSZ do groszy'!D27,0)</f>
        <v>0</v>
      </c>
      <c r="E27" s="376">
        <f t="shared" ref="E27:E28" si="65">G27+I27+K27+M27+O27+Q27+S27+U27+W27+Y27+AA27+AC27+AE27+AG27</f>
        <v>0</v>
      </c>
      <c r="F27" s="377">
        <f t="shared" ref="F27:F28" si="66">H27+J27+L27+N27+P27+R27+T27+V27+X27+Z27+AB27+AD27+AF27+AH27</f>
        <v>0</v>
      </c>
      <c r="G27" s="376">
        <f>ROUNDUP('HSZ do groszy'!G27,0)</f>
        <v>0</v>
      </c>
      <c r="H27" s="377">
        <f>ROUNDUP('HSZ do groszy'!H27,0)</f>
        <v>0</v>
      </c>
      <c r="I27" s="376">
        <f>ROUNDUP('HSZ do groszy'!I27,0)</f>
        <v>0</v>
      </c>
      <c r="J27" s="377">
        <f>ROUNDUP('HSZ do groszy'!J27,0)</f>
        <v>0</v>
      </c>
      <c r="K27" s="378">
        <f>ROUNDUP('HSZ do groszy'!K27,0)</f>
        <v>0</v>
      </c>
      <c r="L27" s="379">
        <f>ROUNDUP('HSZ do groszy'!L27,0)</f>
        <v>0</v>
      </c>
      <c r="M27" s="376">
        <f>ROUNDUP('HSZ do groszy'!M27,0)</f>
        <v>0</v>
      </c>
      <c r="N27" s="379">
        <f>ROUNDUP('HSZ do groszy'!N27,0)</f>
        <v>0</v>
      </c>
      <c r="O27" s="378">
        <f>ROUNDUP('HSZ do groszy'!O27,0)</f>
        <v>0</v>
      </c>
      <c r="P27" s="379">
        <f>ROUNDUP('HSZ do groszy'!P27,0)</f>
        <v>0</v>
      </c>
      <c r="Q27" s="376">
        <f>ROUNDUP('HSZ do groszy'!Q27,0)</f>
        <v>0</v>
      </c>
      <c r="R27" s="379">
        <f>ROUNDUP('HSZ do groszy'!R27,0)</f>
        <v>0</v>
      </c>
      <c r="S27" s="378">
        <f>ROUNDUP('HSZ do groszy'!S27,0)</f>
        <v>0</v>
      </c>
      <c r="T27" s="379">
        <f>ROUNDUP('HSZ do groszy'!T27,0)</f>
        <v>0</v>
      </c>
      <c r="U27" s="376">
        <f>ROUNDUP('HSZ do groszy'!U27,0)</f>
        <v>0</v>
      </c>
      <c r="V27" s="379">
        <f>ROUNDUP('HSZ do groszy'!V27,0)</f>
        <v>0</v>
      </c>
      <c r="W27" s="378">
        <f>ROUNDUP('HSZ do groszy'!W27,0)</f>
        <v>0</v>
      </c>
      <c r="X27" s="379">
        <f>ROUNDUP('HSZ do groszy'!X27,0)</f>
        <v>0</v>
      </c>
      <c r="Y27" s="376">
        <f>ROUNDUP('HSZ do groszy'!Y27,0)</f>
        <v>0</v>
      </c>
      <c r="Z27" s="379">
        <f>ROUNDUP('HSZ do groszy'!Z27,0)</f>
        <v>0</v>
      </c>
      <c r="AA27" s="378">
        <f>ROUNDUP('HSZ do groszy'!AA27,0)</f>
        <v>0</v>
      </c>
      <c r="AB27" s="379">
        <f>ROUNDUP('HSZ do groszy'!AB27,0)</f>
        <v>0</v>
      </c>
      <c r="AC27" s="376">
        <f>ROUNDUP('HSZ do groszy'!AC27,0)</f>
        <v>0</v>
      </c>
      <c r="AD27" s="379">
        <f>ROUNDUP('HSZ do groszy'!AD27,0)</f>
        <v>0</v>
      </c>
      <c r="AE27" s="378">
        <f>ROUNDUP('HSZ do groszy'!AE27,0)</f>
        <v>0</v>
      </c>
      <c r="AF27" s="377">
        <f>ROUNDUP('HSZ do groszy'!AF27,0)</f>
        <v>0</v>
      </c>
      <c r="AG27" s="378">
        <f>ROUNDUP('HSZ do groszy'!AG27,0)</f>
        <v>0</v>
      </c>
      <c r="AH27" s="380">
        <f>ROUNDUP('HSZ do groszy'!AH27,0)</f>
        <v>0</v>
      </c>
      <c r="AI27" s="378">
        <f>ROUNDUP('HSZ do groszy'!AI27,0)</f>
        <v>0</v>
      </c>
      <c r="AJ27" s="380">
        <f>ROUNDUP('HSZ do groszy'!AJ27,0)</f>
        <v>0</v>
      </c>
      <c r="AK27" s="378">
        <f>ROUNDUP('HSZ do groszy'!AK27,0)</f>
        <v>0</v>
      </c>
      <c r="AL27" s="380">
        <f>ROUNDUP('HSZ do groszy'!AL27,0)</f>
        <v>0</v>
      </c>
      <c r="AM27" s="378">
        <f>ROUNDUP('HSZ do groszy'!AM27,0)</f>
        <v>0</v>
      </c>
      <c r="AN27" s="380">
        <f>ROUNDUP('HSZ do groszy'!AN27,0)</f>
        <v>0</v>
      </c>
      <c r="AO27" s="378">
        <f>ROUNDUP('HSZ do groszy'!AO27,0)</f>
        <v>0</v>
      </c>
      <c r="AP27" s="380">
        <f>ROUNDUP('HSZ do groszy'!AP27,0)</f>
        <v>0</v>
      </c>
      <c r="AQ27" s="378">
        <f>ROUNDUP('HSZ do groszy'!AQ27,0)</f>
        <v>0</v>
      </c>
      <c r="AR27" s="380">
        <f>ROUNDUP('HSZ do groszy'!AR27,0)</f>
        <v>0</v>
      </c>
      <c r="AS27" s="192"/>
      <c r="AT27" s="192"/>
      <c r="AU27" s="381" t="s">
        <v>328</v>
      </c>
      <c r="AV27" s="382"/>
      <c r="AW27" s="383"/>
      <c r="AX27" s="384"/>
      <c r="AY27" s="385"/>
      <c r="AZ27" s="383">
        <f>SUM($K27,$M27,$O27,$Q27,$S27,$U27,$W27,$Y27,$AA27,$AC27,$AE27,$AG27)</f>
        <v>0</v>
      </c>
      <c r="BA27" s="384">
        <f>SUM($L27,$N27,$P27,$R27,$T27,$V27,$X27,$Z27,$AB27,$AD27,$AF27,$AH27)</f>
        <v>0</v>
      </c>
      <c r="BB27" s="385">
        <f>SUM(AZ27,BA27)</f>
        <v>0</v>
      </c>
      <c r="BC27" s="383">
        <f>SUM($M27,$O27,$Q27,$S27,$U27,$W27,$Y27,$AA27,$AC27,$AE27,$AG27)</f>
        <v>0</v>
      </c>
      <c r="BD27" s="384">
        <f>SUM($N27,$P27,$R27,$T27,$V27,$X27,$Z27,$AB27,$AD27,$AF27,$AH27)</f>
        <v>0</v>
      </c>
      <c r="BE27" s="385">
        <f>SUM(BC27,BD27)</f>
        <v>0</v>
      </c>
      <c r="BF27" s="383">
        <f t="shared" si="20"/>
        <v>0</v>
      </c>
      <c r="BG27" s="384">
        <f t="shared" si="21"/>
        <v>0</v>
      </c>
      <c r="BH27" s="385">
        <f>SUM(BF27,BG27)</f>
        <v>0</v>
      </c>
      <c r="BI27" s="383">
        <f t="shared" si="23"/>
        <v>0</v>
      </c>
      <c r="BJ27" s="384">
        <f t="shared" si="24"/>
        <v>0</v>
      </c>
      <c r="BK27" s="385">
        <f>SUM(BI27,BJ27)</f>
        <v>0</v>
      </c>
      <c r="BL27" s="383">
        <f t="shared" si="26"/>
        <v>0</v>
      </c>
      <c r="BM27" s="384">
        <f t="shared" si="27"/>
        <v>0</v>
      </c>
      <c r="BN27" s="385">
        <f t="shared" si="28"/>
        <v>0</v>
      </c>
      <c r="BO27" s="383">
        <f t="shared" si="29"/>
        <v>0</v>
      </c>
      <c r="BP27" s="384">
        <f t="shared" si="30"/>
        <v>0</v>
      </c>
      <c r="BQ27" s="385">
        <f t="shared" si="31"/>
        <v>0</v>
      </c>
      <c r="BR27" s="383">
        <f t="shared" si="32"/>
        <v>0</v>
      </c>
      <c r="BS27" s="384">
        <f t="shared" si="33"/>
        <v>0</v>
      </c>
      <c r="BT27" s="385">
        <f t="shared" si="34"/>
        <v>0</v>
      </c>
      <c r="BU27" s="383">
        <f t="shared" si="35"/>
        <v>0</v>
      </c>
      <c r="BV27" s="384">
        <f t="shared" si="36"/>
        <v>0</v>
      </c>
      <c r="BW27" s="385">
        <f t="shared" si="37"/>
        <v>0</v>
      </c>
      <c r="BX27" s="383">
        <f t="shared" si="38"/>
        <v>0</v>
      </c>
      <c r="BY27" s="384">
        <f t="shared" si="39"/>
        <v>0</v>
      </c>
      <c r="BZ27" s="385">
        <f t="shared" si="40"/>
        <v>0</v>
      </c>
      <c r="CA27" s="383">
        <f t="shared" si="41"/>
        <v>0</v>
      </c>
      <c r="CB27" s="384">
        <f t="shared" si="42"/>
        <v>0</v>
      </c>
      <c r="CC27" s="385">
        <f t="shared" si="43"/>
        <v>0</v>
      </c>
      <c r="CD27" s="383">
        <f t="shared" si="44"/>
        <v>0</v>
      </c>
      <c r="CE27" s="384">
        <f t="shared" si="45"/>
        <v>0</v>
      </c>
      <c r="CF27" s="385">
        <f t="shared" si="46"/>
        <v>0</v>
      </c>
      <c r="CG27" s="383">
        <f t="shared" si="47"/>
        <v>0</v>
      </c>
      <c r="CH27" s="384">
        <f t="shared" si="48"/>
        <v>0</v>
      </c>
      <c r="CI27" s="385">
        <f t="shared" si="49"/>
        <v>0</v>
      </c>
      <c r="CJ27" s="383">
        <v>0</v>
      </c>
      <c r="CK27" s="384">
        <v>0</v>
      </c>
      <c r="CL27" s="385">
        <f t="shared" si="52"/>
        <v>0</v>
      </c>
      <c r="CM27" s="383">
        <v>0</v>
      </c>
      <c r="CN27" s="384">
        <v>0</v>
      </c>
      <c r="CO27" s="385">
        <f t="shared" si="55"/>
        <v>0</v>
      </c>
      <c r="CP27" s="383">
        <v>0</v>
      </c>
      <c r="CQ27" s="384">
        <v>0</v>
      </c>
      <c r="CR27" s="385">
        <f t="shared" si="58"/>
        <v>0</v>
      </c>
      <c r="CS27" s="383">
        <v>0</v>
      </c>
      <c r="CT27" s="384">
        <v>0</v>
      </c>
      <c r="CU27" s="385">
        <f t="shared" si="61"/>
        <v>0</v>
      </c>
      <c r="CV27" s="383">
        <v>0</v>
      </c>
      <c r="CW27" s="384">
        <v>0</v>
      </c>
      <c r="CX27" s="385">
        <f t="shared" si="64"/>
        <v>0</v>
      </c>
    </row>
    <row r="28" spans="1:102">
      <c r="A28" s="374" t="str">
        <f>'HSZ do groszy'!A28</f>
        <v>pożyczka 2014</v>
      </c>
      <c r="B28" s="375">
        <f>ROUNDUP('HSZ do groszy'!B28,0)</f>
        <v>0</v>
      </c>
      <c r="C28" s="376">
        <f>ROUNDUP('HSZ do groszy'!C28,0)</f>
        <v>0</v>
      </c>
      <c r="D28" s="377">
        <f>ROUNDUP('HSZ do groszy'!D28,0)</f>
        <v>0</v>
      </c>
      <c r="E28" s="376">
        <f t="shared" si="65"/>
        <v>4941761</v>
      </c>
      <c r="F28" s="377">
        <f t="shared" si="66"/>
        <v>1677733</v>
      </c>
      <c r="G28" s="376">
        <f>ROUNDUP('HSZ do groszy'!G28,0)</f>
        <v>0</v>
      </c>
      <c r="H28" s="377">
        <f>ROUNDUP('HSZ do groszy'!H28,0)</f>
        <v>0</v>
      </c>
      <c r="I28" s="376">
        <f>ROUNDUP('HSZ do groszy'!I28,0)</f>
        <v>0</v>
      </c>
      <c r="J28" s="377">
        <f>ROUNDUP('HSZ do groszy'!J28,0)</f>
        <v>0</v>
      </c>
      <c r="K28" s="378">
        <f>ROUNDUP('HSZ do groszy'!K28,0)</f>
        <v>0</v>
      </c>
      <c r="L28" s="379">
        <f>ROUNDUP('HSZ do groszy'!L28,0)</f>
        <v>0</v>
      </c>
      <c r="M28" s="376">
        <f>ROUNDUP('HSZ do groszy'!M28,0)</f>
        <v>0</v>
      </c>
      <c r="N28" s="377">
        <f>ROUNDUP('HSZ do groszy'!N28,0)</f>
        <v>261465</v>
      </c>
      <c r="O28" s="378">
        <f>ROUNDUP('HSZ do groszy'!O28,0)</f>
        <v>494177</v>
      </c>
      <c r="P28" s="377">
        <f>ROUNDUP('HSZ do groszy'!P28,0)</f>
        <v>259286</v>
      </c>
      <c r="Q28" s="376">
        <f>ROUNDUP('HSZ do groszy'!Q28,0)</f>
        <v>494176</v>
      </c>
      <c r="R28" s="377">
        <f>ROUNDUP('HSZ do groszy'!R28,0)</f>
        <v>233139</v>
      </c>
      <c r="S28" s="378">
        <f>ROUNDUP('HSZ do groszy'!S28,0)</f>
        <v>494176</v>
      </c>
      <c r="T28" s="377">
        <f>ROUNDUP('HSZ do groszy'!T28,0)</f>
        <v>206993</v>
      </c>
      <c r="U28" s="376">
        <f>ROUNDUP('HSZ do groszy'!U28,0)</f>
        <v>494176</v>
      </c>
      <c r="V28" s="377">
        <f>ROUNDUP('HSZ do groszy'!V28,0)</f>
        <v>180846</v>
      </c>
      <c r="W28" s="378">
        <f>ROUNDUP('HSZ do groszy'!W28,0)</f>
        <v>494176</v>
      </c>
      <c r="X28" s="377">
        <f>ROUNDUP('HSZ do groszy'!X28,0)</f>
        <v>154700</v>
      </c>
      <c r="Y28" s="376">
        <f>ROUNDUP('HSZ do groszy'!Y28,0)</f>
        <v>494176</v>
      </c>
      <c r="Z28" s="377">
        <f>ROUNDUP('HSZ do groszy'!Z28,0)</f>
        <v>128554</v>
      </c>
      <c r="AA28" s="378">
        <f>ROUNDUP('HSZ do groszy'!AA28,0)</f>
        <v>494176</v>
      </c>
      <c r="AB28" s="377">
        <f>ROUNDUP('HSZ do groszy'!AB28,0)</f>
        <v>102407</v>
      </c>
      <c r="AC28" s="376">
        <f>ROUNDUP('HSZ do groszy'!AC28,0)</f>
        <v>494176</v>
      </c>
      <c r="AD28" s="377">
        <f>ROUNDUP('HSZ do groszy'!AD28,0)</f>
        <v>76261</v>
      </c>
      <c r="AE28" s="378">
        <f>ROUNDUP('HSZ do groszy'!AE28,0)</f>
        <v>494176</v>
      </c>
      <c r="AF28" s="377">
        <f>ROUNDUP('HSZ do groszy'!AF28,0)</f>
        <v>50114</v>
      </c>
      <c r="AG28" s="378">
        <f>ROUNDUP('HSZ do groszy'!AG28,0)</f>
        <v>494176</v>
      </c>
      <c r="AH28" s="380">
        <f>ROUNDUP('HSZ do groszy'!AH28,0)</f>
        <v>23968</v>
      </c>
      <c r="AI28" s="378">
        <f>ROUNDUP('HSZ do groszy'!AI28,0)</f>
        <v>0</v>
      </c>
      <c r="AJ28" s="380">
        <f>ROUNDUP('HSZ do groszy'!AJ28,0)</f>
        <v>0</v>
      </c>
      <c r="AK28" s="378">
        <f>ROUNDUP('HSZ do groszy'!AK28,0)</f>
        <v>0</v>
      </c>
      <c r="AL28" s="380">
        <f>ROUNDUP('HSZ do groszy'!AL28,0)</f>
        <v>0</v>
      </c>
      <c r="AM28" s="378">
        <f>ROUNDUP('HSZ do groszy'!AM28,0)</f>
        <v>0</v>
      </c>
      <c r="AN28" s="380">
        <f>ROUNDUP('HSZ do groszy'!AN28,0)</f>
        <v>0</v>
      </c>
      <c r="AO28" s="378">
        <f>ROUNDUP('HSZ do groszy'!AO28,0)</f>
        <v>0</v>
      </c>
      <c r="AP28" s="380">
        <f>ROUNDUP('HSZ do groszy'!AP28,0)</f>
        <v>0</v>
      </c>
      <c r="AQ28" s="378">
        <f>ROUNDUP('HSZ do groszy'!AQ28,0)</f>
        <v>0</v>
      </c>
      <c r="AR28" s="380">
        <f>ROUNDUP('HSZ do groszy'!AR28,0)</f>
        <v>0</v>
      </c>
      <c r="AS28" s="192"/>
      <c r="AT28" s="192"/>
      <c r="AU28" s="381" t="s">
        <v>327</v>
      </c>
      <c r="AV28" s="382"/>
      <c r="AW28" s="383"/>
      <c r="AX28" s="384"/>
      <c r="AY28" s="385"/>
      <c r="AZ28" s="383"/>
      <c r="BA28" s="384"/>
      <c r="BB28" s="385"/>
      <c r="BC28" s="383">
        <f>SUM($M28,$O28,$Q28,$S28,$U28,$W28,$Y28,$AA28,$AC28,$AE28,$AG28)</f>
        <v>4941761</v>
      </c>
      <c r="BD28" s="384">
        <f>SUM($N28,$P28,$R28,$T28,$V28,$X28,$Z28,$AB28,$AD28,$AF28,$AH28)</f>
        <v>1677733</v>
      </c>
      <c r="BE28" s="385">
        <f>SUM(BC28,BD28)</f>
        <v>6619494</v>
      </c>
      <c r="BF28" s="383">
        <f t="shared" si="20"/>
        <v>4941761</v>
      </c>
      <c r="BG28" s="384">
        <f t="shared" si="21"/>
        <v>1416268</v>
      </c>
      <c r="BH28" s="385">
        <f>SUM(BF28,BG28)</f>
        <v>6358029</v>
      </c>
      <c r="BI28" s="383">
        <f t="shared" si="23"/>
        <v>4447584</v>
      </c>
      <c r="BJ28" s="384">
        <f t="shared" si="24"/>
        <v>1156982</v>
      </c>
      <c r="BK28" s="385">
        <f>SUM(BI28,BJ28)</f>
        <v>5604566</v>
      </c>
      <c r="BL28" s="383">
        <f t="shared" si="26"/>
        <v>3953408</v>
      </c>
      <c r="BM28" s="384">
        <f t="shared" si="27"/>
        <v>923843</v>
      </c>
      <c r="BN28" s="385">
        <f t="shared" si="28"/>
        <v>4877251</v>
      </c>
      <c r="BO28" s="383">
        <f t="shared" si="29"/>
        <v>3459232</v>
      </c>
      <c r="BP28" s="384">
        <f t="shared" si="30"/>
        <v>716850</v>
      </c>
      <c r="BQ28" s="385">
        <f t="shared" si="31"/>
        <v>4176082</v>
      </c>
      <c r="BR28" s="383">
        <f t="shared" si="32"/>
        <v>2965056</v>
      </c>
      <c r="BS28" s="384">
        <f t="shared" si="33"/>
        <v>536004</v>
      </c>
      <c r="BT28" s="385">
        <f t="shared" si="34"/>
        <v>3501060</v>
      </c>
      <c r="BU28" s="383">
        <f t="shared" si="35"/>
        <v>2470880</v>
      </c>
      <c r="BV28" s="384">
        <f t="shared" si="36"/>
        <v>381304</v>
      </c>
      <c r="BW28" s="385">
        <f t="shared" si="37"/>
        <v>2852184</v>
      </c>
      <c r="BX28" s="383">
        <f t="shared" si="38"/>
        <v>1976704</v>
      </c>
      <c r="BY28" s="384">
        <f t="shared" si="39"/>
        <v>252750</v>
      </c>
      <c r="BZ28" s="385">
        <f t="shared" si="40"/>
        <v>2229454</v>
      </c>
      <c r="CA28" s="383">
        <f t="shared" si="41"/>
        <v>1482528</v>
      </c>
      <c r="CB28" s="384">
        <f t="shared" si="42"/>
        <v>150343</v>
      </c>
      <c r="CC28" s="385">
        <f t="shared" si="43"/>
        <v>1632871</v>
      </c>
      <c r="CD28" s="383">
        <f t="shared" si="44"/>
        <v>988352</v>
      </c>
      <c r="CE28" s="384">
        <f t="shared" si="45"/>
        <v>74082</v>
      </c>
      <c r="CF28" s="385">
        <f t="shared" si="46"/>
        <v>1062434</v>
      </c>
      <c r="CG28" s="383">
        <f t="shared" si="47"/>
        <v>494176</v>
      </c>
      <c r="CH28" s="384">
        <f t="shared" si="48"/>
        <v>23968</v>
      </c>
      <c r="CI28" s="385">
        <f t="shared" si="49"/>
        <v>518144</v>
      </c>
      <c r="CJ28" s="383">
        <v>0</v>
      </c>
      <c r="CK28" s="384">
        <v>0</v>
      </c>
      <c r="CL28" s="385">
        <f t="shared" si="52"/>
        <v>0</v>
      </c>
      <c r="CM28" s="383">
        <v>0</v>
      </c>
      <c r="CN28" s="384">
        <v>0</v>
      </c>
      <c r="CO28" s="385">
        <f t="shared" si="55"/>
        <v>0</v>
      </c>
      <c r="CP28" s="383">
        <v>0</v>
      </c>
      <c r="CQ28" s="384">
        <v>0</v>
      </c>
      <c r="CR28" s="385">
        <f t="shared" si="58"/>
        <v>0</v>
      </c>
      <c r="CS28" s="383">
        <v>0</v>
      </c>
      <c r="CT28" s="384">
        <v>0</v>
      </c>
      <c r="CU28" s="385">
        <f t="shared" si="61"/>
        <v>0</v>
      </c>
      <c r="CV28" s="383">
        <v>0</v>
      </c>
      <c r="CW28" s="384">
        <v>0</v>
      </c>
      <c r="CX28" s="385">
        <f t="shared" si="64"/>
        <v>0</v>
      </c>
    </row>
    <row r="29" spans="1:102">
      <c r="A29" s="374" t="str">
        <f>'HSZ do groszy'!A29</f>
        <v>pożyczka 2015</v>
      </c>
      <c r="B29" s="375">
        <f>ROUNDUP('HSZ do groszy'!B29,0)</f>
        <v>0</v>
      </c>
      <c r="C29" s="376">
        <f>ROUNDUP('HSZ do groszy'!C29,0)</f>
        <v>0</v>
      </c>
      <c r="D29" s="377">
        <f>ROUNDUP('HSZ do groszy'!D29,0)</f>
        <v>0</v>
      </c>
      <c r="E29" s="376">
        <f>G29+I29+K29+M29+O29+Q29+S29+U29+W29+Y29+AA29+AC29+AE29+AG29</f>
        <v>0</v>
      </c>
      <c r="F29" s="377">
        <f>H29+J29+L29+N29+P29+R29+T29+V29+X29+Z29+AB29+AD29+AF29+AH29</f>
        <v>0</v>
      </c>
      <c r="G29" s="376">
        <f>ROUNDUP('HSZ do groszy'!G29,0)</f>
        <v>0</v>
      </c>
      <c r="H29" s="377">
        <f>ROUNDUP('HSZ do groszy'!H29,0)</f>
        <v>0</v>
      </c>
      <c r="I29" s="376">
        <f>ROUNDUP('HSZ do groszy'!I29,0)</f>
        <v>0</v>
      </c>
      <c r="J29" s="377">
        <f>ROUNDUP('HSZ do groszy'!J29,0)</f>
        <v>0</v>
      </c>
      <c r="K29" s="378">
        <f>ROUNDUP('HSZ do groszy'!K29,0)</f>
        <v>0</v>
      </c>
      <c r="L29" s="379">
        <f>ROUNDUP('HSZ do groszy'!L29,0)</f>
        <v>0</v>
      </c>
      <c r="M29" s="376">
        <f>ROUNDUP('HSZ do groszy'!M29,0)</f>
        <v>0</v>
      </c>
      <c r="N29" s="377">
        <f>ROUNDUP('HSZ do groszy'!N29,0)</f>
        <v>0</v>
      </c>
      <c r="O29" s="378">
        <f>ROUNDUP('HSZ do groszy'!O29,0)</f>
        <v>0</v>
      </c>
      <c r="P29" s="379">
        <f>ROUNDUP('HSZ do groszy'!P29,0)</f>
        <v>0</v>
      </c>
      <c r="Q29" s="376">
        <f>ROUNDUP('HSZ do groszy'!Q29,0)</f>
        <v>0</v>
      </c>
      <c r="R29" s="379">
        <f>ROUNDUP('HSZ do groszy'!R29,0)</f>
        <v>0</v>
      </c>
      <c r="S29" s="378">
        <f>ROUNDUP('HSZ do groszy'!S29,0)</f>
        <v>0</v>
      </c>
      <c r="T29" s="379">
        <f>ROUNDUP('HSZ do groszy'!T29,0)</f>
        <v>0</v>
      </c>
      <c r="U29" s="376">
        <f>ROUNDUP('HSZ do groszy'!U29,0)</f>
        <v>0</v>
      </c>
      <c r="V29" s="379">
        <f>ROUNDUP('HSZ do groszy'!V29,0)</f>
        <v>0</v>
      </c>
      <c r="W29" s="378">
        <f>ROUNDUP('HSZ do groszy'!W29,0)</f>
        <v>0</v>
      </c>
      <c r="X29" s="379">
        <f>ROUNDUP('HSZ do groszy'!X29,0)</f>
        <v>0</v>
      </c>
      <c r="Y29" s="376">
        <f>ROUNDUP('HSZ do groszy'!Y29,0)</f>
        <v>0</v>
      </c>
      <c r="Z29" s="379">
        <f>ROUNDUP('HSZ do groszy'!Z29,0)</f>
        <v>0</v>
      </c>
      <c r="AA29" s="378">
        <f>ROUNDUP('HSZ do groszy'!AA29,0)</f>
        <v>0</v>
      </c>
      <c r="AB29" s="379">
        <f>ROUNDUP('HSZ do groszy'!AB29,0)</f>
        <v>0</v>
      </c>
      <c r="AC29" s="376">
        <f>ROUNDUP('HSZ do groszy'!AC29,0)</f>
        <v>0</v>
      </c>
      <c r="AD29" s="379">
        <f>ROUNDUP('HSZ do groszy'!AD29,0)</f>
        <v>0</v>
      </c>
      <c r="AE29" s="378">
        <f>ROUNDUP('HSZ do groszy'!AE29,0)</f>
        <v>0</v>
      </c>
      <c r="AF29" s="379">
        <f>ROUNDUP('HSZ do groszy'!AF29,0)</f>
        <v>0</v>
      </c>
      <c r="AG29" s="378">
        <f>ROUNDUP('HSZ do groszy'!AG29,0)</f>
        <v>0</v>
      </c>
      <c r="AH29" s="379">
        <f>ROUNDUP('HSZ do groszy'!AH29,0)</f>
        <v>0</v>
      </c>
      <c r="AI29" s="378">
        <f>ROUNDUP('HSZ do groszy'!AI29,0)</f>
        <v>0</v>
      </c>
      <c r="AJ29" s="379">
        <f>ROUNDUP('HSZ do groszy'!AJ29,0)</f>
        <v>0</v>
      </c>
      <c r="AK29" s="378">
        <f>ROUNDUP('HSZ do groszy'!AK29,0)</f>
        <v>0</v>
      </c>
      <c r="AL29" s="379">
        <f>ROUNDUP('HSZ do groszy'!AL29,0)</f>
        <v>0</v>
      </c>
      <c r="AM29" s="378">
        <f>ROUNDUP('HSZ do groszy'!AM29,0)</f>
        <v>0</v>
      </c>
      <c r="AN29" s="379">
        <f>ROUNDUP('HSZ do groszy'!AN29,0)</f>
        <v>0</v>
      </c>
      <c r="AO29" s="378">
        <f>ROUNDUP('HSZ do groszy'!AO29,0)</f>
        <v>0</v>
      </c>
      <c r="AP29" s="379">
        <f>ROUNDUP('HSZ do groszy'!AP29,0)</f>
        <v>0</v>
      </c>
      <c r="AQ29" s="378">
        <f>ROUNDUP('HSZ do groszy'!AQ29,0)</f>
        <v>0</v>
      </c>
      <c r="AR29" s="379">
        <f>ROUNDUP('HSZ do groszy'!AR29,0)</f>
        <v>0</v>
      </c>
      <c r="AS29" s="192"/>
      <c r="AT29" s="192"/>
      <c r="AU29" s="381" t="s">
        <v>328</v>
      </c>
      <c r="AV29" s="382">
        <f>B29</f>
        <v>0</v>
      </c>
      <c r="AW29" s="383"/>
      <c r="AX29" s="384"/>
      <c r="AY29" s="385"/>
      <c r="AZ29" s="383"/>
      <c r="BA29" s="384"/>
      <c r="BB29" s="385"/>
      <c r="BC29" s="383"/>
      <c r="BD29" s="384"/>
      <c r="BE29" s="385"/>
      <c r="BF29" s="383">
        <f>SUM($O29,$Q29,$S29,$U29,$W29,$Y29,$AA29,$AC29,$AE29,$AG29)</f>
        <v>0</v>
      </c>
      <c r="BG29" s="384">
        <f>SUM($P29,$R29,$T29,$V29,$X29,$Z29,$AB29,$AD29,$AF29,$AH29)</f>
        <v>0</v>
      </c>
      <c r="BH29" s="385">
        <f>SUM(BF29,BG29)</f>
        <v>0</v>
      </c>
      <c r="BI29" s="383">
        <f>SUM($Q29,$S29,$U29,$W29,$Y29,$AA29,$AC29,$AE29,$AG29)</f>
        <v>0</v>
      </c>
      <c r="BJ29" s="384">
        <f>SUM($R29,$T29,$V29,$X29,$Z29,$AB29,$AD29,$AF29,$AH29)</f>
        <v>0</v>
      </c>
      <c r="BK29" s="385">
        <f>SUM(BI29,BJ29)</f>
        <v>0</v>
      </c>
      <c r="BL29" s="383">
        <f>SUM($S29,$U29,$W29,$Y29,$AA29,$AC29,$AE29,$AG29)</f>
        <v>0</v>
      </c>
      <c r="BM29" s="384">
        <f>SUM($T29,$V29,$X29,$Z29,$AB29,$AD29,$AF29,$AH29)</f>
        <v>0</v>
      </c>
      <c r="BN29" s="385">
        <f>SUM(BL29,BM29)</f>
        <v>0</v>
      </c>
      <c r="BO29" s="383">
        <f>SUM($U29,$W29,$Y29,$AA29,$AC29,$AE29,$AG29)</f>
        <v>0</v>
      </c>
      <c r="BP29" s="384">
        <f>SUM($V29,$X29,$Z29,$AB29,$AD29,$AF29,$AH29)</f>
        <v>0</v>
      </c>
      <c r="BQ29" s="385">
        <f>SUM(BO29,BP29)</f>
        <v>0</v>
      </c>
      <c r="BR29" s="383">
        <f>SUM($W29,$Y29,$AA29,$AC29,$AE29,$AG29)</f>
        <v>0</v>
      </c>
      <c r="BS29" s="384">
        <f>SUM($X29,$Z29,$AB29,$AD29,$AF29,$AH29)</f>
        <v>0</v>
      </c>
      <c r="BT29" s="385">
        <f>SUM(BR29,BS29)</f>
        <v>0</v>
      </c>
      <c r="BU29" s="383">
        <f>SUM($Y29,$AA29,$AC29,$AE29,$AG29)</f>
        <v>0</v>
      </c>
      <c r="BV29" s="384">
        <f>SUM($Z29,$AB29,$AD29,$AF29,$AH29)</f>
        <v>0</v>
      </c>
      <c r="BW29" s="385">
        <f>SUM(BU29,BV29)</f>
        <v>0</v>
      </c>
      <c r="BX29" s="383">
        <f>SUM($AA29,$AC29,$AE29,$AG29)</f>
        <v>0</v>
      </c>
      <c r="BY29" s="384">
        <f>SUM($AB29,$AD29,$AF29,$AH29)</f>
        <v>0</v>
      </c>
      <c r="BZ29" s="385">
        <f>SUM(BX29,BY29)</f>
        <v>0</v>
      </c>
      <c r="CA29" s="383">
        <f>SUM($AC29,$AE29,$AG29)</f>
        <v>0</v>
      </c>
      <c r="CB29" s="384">
        <f>SUM($AD29,$AF29,$AH29)</f>
        <v>0</v>
      </c>
      <c r="CC29" s="385">
        <f>SUM(CA29,CB29)</f>
        <v>0</v>
      </c>
      <c r="CD29" s="383">
        <f>SUM($AE29,$AG29)</f>
        <v>0</v>
      </c>
      <c r="CE29" s="384">
        <f>SUM($AF29,$AH29)</f>
        <v>0</v>
      </c>
      <c r="CF29" s="385">
        <f>SUM(CD29,CE29)</f>
        <v>0</v>
      </c>
      <c r="CG29" s="383">
        <f>SUM($AG29)</f>
        <v>0</v>
      </c>
      <c r="CH29" s="384">
        <f>SUM($AH29)</f>
        <v>0</v>
      </c>
      <c r="CI29" s="385">
        <f>SUM(CG29,CH29)</f>
        <v>0</v>
      </c>
      <c r="CJ29" s="383">
        <v>0</v>
      </c>
      <c r="CK29" s="384">
        <v>0</v>
      </c>
      <c r="CL29" s="385">
        <f>SUM(CJ29,CK29)</f>
        <v>0</v>
      </c>
      <c r="CM29" s="383">
        <v>0</v>
      </c>
      <c r="CN29" s="384">
        <v>0</v>
      </c>
      <c r="CO29" s="385">
        <f>SUM(CM29,CN29)</f>
        <v>0</v>
      </c>
      <c r="CP29" s="383">
        <v>0</v>
      </c>
      <c r="CQ29" s="384">
        <v>0</v>
      </c>
      <c r="CR29" s="385">
        <f>SUM(CP29,CQ29)</f>
        <v>0</v>
      </c>
      <c r="CS29" s="383">
        <v>0</v>
      </c>
      <c r="CT29" s="384">
        <v>0</v>
      </c>
      <c r="CU29" s="385">
        <f>SUM(CS29,CT29)</f>
        <v>0</v>
      </c>
      <c r="CV29" s="383">
        <v>0</v>
      </c>
      <c r="CW29" s="384">
        <v>0</v>
      </c>
      <c r="CX29" s="385">
        <f>SUM(CV29,CW29)</f>
        <v>0</v>
      </c>
    </row>
    <row r="30" spans="1:102">
      <c r="A30" s="374" t="str">
        <f>'HSZ do groszy'!A30</f>
        <v>pożyczka jessica</v>
      </c>
      <c r="B30" s="375">
        <f>ROUNDUP('HSZ do groszy'!B30,0)</f>
        <v>0</v>
      </c>
      <c r="C30" s="376">
        <f>ROUNDUP('HSZ do groszy'!C30,0)</f>
        <v>0</v>
      </c>
      <c r="D30" s="377">
        <f>ROUNDUP('HSZ do groszy'!D30,0)</f>
        <v>0</v>
      </c>
      <c r="E30" s="376">
        <f>SUM(M30,O30,Q30,S30,U30,W30,Y30,AA30,AC30,AE30,AG30,AI30,AK30,AM30,AO30,AQ30)</f>
        <v>10800006</v>
      </c>
      <c r="F30" s="376">
        <f>SUM(J30,L30,N30,P30,R30,T30,V30,X30,Z30,AB30,AD30,AF30,AH30,AJ30,AL30,AN30,AP30,AR30)</f>
        <v>1514604</v>
      </c>
      <c r="G30" s="376">
        <f>ROUNDUP('HSZ do groszy'!G30,0)</f>
        <v>0</v>
      </c>
      <c r="H30" s="377">
        <f>ROUNDUP('HSZ do groszy'!H30,0)</f>
        <v>0</v>
      </c>
      <c r="I30" s="376">
        <f>ROUNDUP('HSZ do groszy'!I30,0)</f>
        <v>0</v>
      </c>
      <c r="J30" s="377">
        <f>ROUNDUP('HSZ do groszy'!J30,0)</f>
        <v>237249</v>
      </c>
      <c r="K30" s="378">
        <f>ROUNDUP('HSZ do groszy'!K30,0)</f>
        <v>0</v>
      </c>
      <c r="L30" s="379">
        <f>ROUNDUP('HSZ do groszy'!L30,0)</f>
        <v>268755</v>
      </c>
      <c r="M30" s="376">
        <f>ROUNDUP('HSZ do groszy'!M30,0)</f>
        <v>568422</v>
      </c>
      <c r="N30" s="377">
        <f>ROUNDUP('HSZ do groszy'!N30,0)</f>
        <v>153500</v>
      </c>
      <c r="O30" s="378">
        <f>ROUNDUP('HSZ do groszy'!O30,0)</f>
        <v>852632</v>
      </c>
      <c r="P30" s="379">
        <f>ROUNDUP('HSZ do groszy'!P30,0)</f>
        <v>141000</v>
      </c>
      <c r="Q30" s="376">
        <f>ROUNDUP('HSZ do groszy'!Q30,0)</f>
        <v>852632</v>
      </c>
      <c r="R30" s="379">
        <f>ROUNDUP('HSZ do groszy'!R30,0)</f>
        <v>128000</v>
      </c>
      <c r="S30" s="378">
        <f>ROUNDUP('HSZ do groszy'!S30,0)</f>
        <v>852632</v>
      </c>
      <c r="T30" s="379">
        <f>ROUNDUP('HSZ do groszy'!T30,0)</f>
        <v>115500</v>
      </c>
      <c r="U30" s="376">
        <f>ROUNDUP('HSZ do groszy'!U30,0)</f>
        <v>852632</v>
      </c>
      <c r="V30" s="379">
        <f>ROUNDUP('HSZ do groszy'!V30,0)</f>
        <v>102500</v>
      </c>
      <c r="W30" s="378">
        <f>ROUNDUP('HSZ do groszy'!W30,0)</f>
        <v>852632</v>
      </c>
      <c r="X30" s="379">
        <f>ROUNDUP('HSZ do groszy'!X30,0)</f>
        <v>90000</v>
      </c>
      <c r="Y30" s="376">
        <f>ROUNDUP('HSZ do groszy'!Y30,0)</f>
        <v>852632</v>
      </c>
      <c r="Z30" s="379">
        <f>ROUNDUP('HSZ do groszy'!Z30,0)</f>
        <v>76800</v>
      </c>
      <c r="AA30" s="378">
        <f>ROUNDUP('HSZ do groszy'!AA30,0)</f>
        <v>852632</v>
      </c>
      <c r="AB30" s="379">
        <f>ROUNDUP('HSZ do groszy'!AB30,0)</f>
        <v>64000</v>
      </c>
      <c r="AC30" s="376">
        <f>ROUNDUP('HSZ do groszy'!AC30,0)</f>
        <v>852632</v>
      </c>
      <c r="AD30" s="379">
        <f>ROUNDUP('HSZ do groszy'!AD30,0)</f>
        <v>51500</v>
      </c>
      <c r="AE30" s="378">
        <f>ROUNDUP('HSZ do groszy'!AE30,0)</f>
        <v>852632</v>
      </c>
      <c r="AF30" s="379">
        <f>ROUNDUP('HSZ do groszy'!AF30,0)</f>
        <v>38500</v>
      </c>
      <c r="AG30" s="378">
        <f>ROUNDUP('HSZ do groszy'!AG30,0)</f>
        <v>852632</v>
      </c>
      <c r="AH30" s="379">
        <f>ROUNDUP('HSZ do groszy'!AH30,0)</f>
        <v>25700</v>
      </c>
      <c r="AI30" s="378">
        <f>ROUNDUP('HSZ do groszy'!AI30,0)</f>
        <v>852632</v>
      </c>
      <c r="AJ30" s="379">
        <f>ROUNDUP('HSZ do groszy'!AJ30,0)</f>
        <v>13000</v>
      </c>
      <c r="AK30" s="378">
        <f>ROUNDUP('HSZ do groszy'!AK30,0)</f>
        <v>852632</v>
      </c>
      <c r="AL30" s="379">
        <f>ROUNDUP('HSZ do groszy'!AL30,0)</f>
        <v>8600</v>
      </c>
      <c r="AM30" s="378">
        <f>ROUNDUP('HSZ do groszy'!AM30,0)</f>
        <v>0</v>
      </c>
      <c r="AN30" s="379">
        <f>ROUNDUP('HSZ do groszy'!AN30,0)</f>
        <v>0</v>
      </c>
      <c r="AO30" s="378">
        <f>ROUNDUP('HSZ do groszy'!AO30,0)</f>
        <v>0</v>
      </c>
      <c r="AP30" s="379">
        <f>ROUNDUP('HSZ do groszy'!AP30,0)</f>
        <v>0</v>
      </c>
      <c r="AQ30" s="378">
        <f>ROUNDUP('HSZ do groszy'!AQ30,0)</f>
        <v>0</v>
      </c>
      <c r="AR30" s="379">
        <f>ROUNDUP('HSZ do groszy'!AR30,0)</f>
        <v>0</v>
      </c>
      <c r="AS30" s="192"/>
      <c r="AT30" s="192"/>
      <c r="AU30" s="381" t="s">
        <v>347</v>
      </c>
      <c r="AV30" s="382">
        <f>B30</f>
        <v>0</v>
      </c>
      <c r="AW30" s="383">
        <v>0</v>
      </c>
      <c r="AX30" s="384"/>
      <c r="AY30" s="385"/>
      <c r="AZ30" s="383">
        <v>9090000</v>
      </c>
      <c r="BA30" s="384">
        <f>SUM($J30,$L30,$N30,$P30,$R30,$T30,$V30,$X30,$Z30,$AB30,$AD30,$AF30,$AH30,$AJ30,$AN30,$AP30,$AR30)</f>
        <v>1506004</v>
      </c>
      <c r="BB30" s="385"/>
      <c r="BC30" s="383">
        <f>SUM($M30,$O30,$Q30,$S30,$U30,$W30,$Y30,$AA30,$AC30,$AE30,$AG30,$AI30,$AK30,$AM30,$AO30,$AQ30)</f>
        <v>10800006</v>
      </c>
      <c r="BD30" s="384">
        <f>SUM($L30,$N30,$P30,$R30,$T30,$V30,$X30,$Z30,$AB30,$AD30,$AF30,$AH30,$AJ30,$AN30,$AP30,$AR30)</f>
        <v>1268755</v>
      </c>
      <c r="BE30" s="385"/>
      <c r="BF30" s="383">
        <f>SUM($O30,$Q30,$S30,$U30,$W30,$Y30,$AA30,$AC30,$AE30,$AG30,$AI30,$AK30,$AM30,$AO30,$AQ30)</f>
        <v>10231584</v>
      </c>
      <c r="BG30" s="384">
        <f>SUM($N30,$P30,$R30,$T30,$V30,$X30,$Z30,$AB30,$AD30,$AF30,$AH30,$AJ30,$AN30,$AP30,$AR30)</f>
        <v>1000000</v>
      </c>
      <c r="BH30" s="385">
        <f>SUM(BF30,BG30)</f>
        <v>11231584</v>
      </c>
      <c r="BI30" s="383">
        <f>SUM($Q30,$S30,$U30,$W30,$Y30,$AA30,$AC30,$AE30,$AG30,$AI30,$AK30,$AM30,$AO30,$AQ30)</f>
        <v>9378952</v>
      </c>
      <c r="BJ30" s="384">
        <f>SUM($P30,$R30,$T30,$V30,$X30,$Z30,$AB30,$AD30,$AF30,$AH30,$AJ30,$AN30,$AP30,$AR30)</f>
        <v>846500</v>
      </c>
      <c r="BK30" s="385">
        <f>SUM(BI30,BJ30)</f>
        <v>10225452</v>
      </c>
      <c r="BL30" s="383">
        <f>SUM($S30,$U30,$W30,$Y30,$AA30,$AC30,$AE30,$AG30,$AI30,$AK30,$AM30,$AO30,$AQ30)</f>
        <v>8526320</v>
      </c>
      <c r="BM30" s="384">
        <f>SUM($R30,$T30,$V30,$X30,$Z30,$AB30,$AD30,$AF30,$AH30,$AJ30,$AN30,$AP30,$AR30)</f>
        <v>705500</v>
      </c>
      <c r="BN30" s="385">
        <f>SUM(BL30,BM30)</f>
        <v>9231820</v>
      </c>
      <c r="BO30" s="383">
        <f>SUM($U30,$W30,$Y30,$AA30,$AC30,$AE30,$AG30,$AI30,$AK30,$AM30,$AO30,$AQ30)</f>
        <v>7673688</v>
      </c>
      <c r="BP30" s="384">
        <f>SUM($T30,$V30,$X30,$Z30,$AB30,$AD30,$AF30,$AH30,$AJ30,$AN30,$AP30,$AR30)</f>
        <v>577500</v>
      </c>
      <c r="BQ30" s="385">
        <f>SUM(BO30,BP30)</f>
        <v>8251188</v>
      </c>
      <c r="BR30" s="383">
        <f>SUM($W30,$Y30,$AA30,$AC30,$AE30,$AG30,$AI30,$AK30,$AM30,$AO30,$AQ30)</f>
        <v>6821056</v>
      </c>
      <c r="BS30" s="384">
        <f>SUM($V30,$X30,$Z30,$AB30,$AD30,$AF30,$AH30,$AJ30,$AN30,$AP30,$AR30)</f>
        <v>462000</v>
      </c>
      <c r="BT30" s="385">
        <f>SUM(BR30,BS30)</f>
        <v>7283056</v>
      </c>
      <c r="BU30" s="383">
        <f>SUM($Y30,$AA30,$AC30,$AE30,$AG30,$AI30,$AK30,$AM30,$AO30,$AQ30)</f>
        <v>5968424</v>
      </c>
      <c r="BV30" s="384">
        <f>SUM($X30,$Z30,$AB30,$AD30,$AF30,$AH30,$AJ30,$AN30,$AP30,$AR30)</f>
        <v>359500</v>
      </c>
      <c r="BW30" s="385">
        <f>SUM(BU30,BV30)</f>
        <v>6327924</v>
      </c>
      <c r="BX30" s="383">
        <f>SUM($AA30,$AC30,$AE30,$AG30,$AI30,$AK30,$AM30,$AO30,$AQ30)</f>
        <v>5115792</v>
      </c>
      <c r="BY30" s="384">
        <f>SUM($Z30,$AB30,$AD30,$AF30,$AH30,$AJ30,$AN30,$AP30,$AR30)</f>
        <v>269500</v>
      </c>
      <c r="BZ30" s="385">
        <f>SUM(BX30,BY30)</f>
        <v>5385292</v>
      </c>
      <c r="CA30" s="383">
        <f>SUM($AC30,$AE30,$AG30,$AI30,$AK30,$AM30,$AO30,$AQ30)</f>
        <v>4263160</v>
      </c>
      <c r="CB30" s="384">
        <f>SUM($AB30,$AD30,$AF30,$AH30,$AJ30,$AN30,$AP30,$AR30)</f>
        <v>192700</v>
      </c>
      <c r="CC30" s="385">
        <f>SUM(CA30,CB30)</f>
        <v>4455860</v>
      </c>
      <c r="CD30" s="383">
        <f>SUM($AE30,$AG30,$AI30,$AK30,$AM30,$AO30,$AQ30)</f>
        <v>3410528</v>
      </c>
      <c r="CE30" s="384">
        <f>SUM($AD30,$AF30,$AH30,$AJ30,$AN30,$AP30,$AR30)</f>
        <v>128700</v>
      </c>
      <c r="CF30" s="385">
        <f>SUM(CD30,CE30)</f>
        <v>3539228</v>
      </c>
      <c r="CG30" s="383">
        <f>SUM($AG30,$AI30,$AK30,$AM30,$AO30,$AQ30)</f>
        <v>2557896</v>
      </c>
      <c r="CH30" s="384">
        <f>SUM($AF30,$AH30,$AJ30,$AN30,$AP30,$AR30)</f>
        <v>77200</v>
      </c>
      <c r="CI30" s="385">
        <f>SUM(CG30,CH30)</f>
        <v>2635096</v>
      </c>
      <c r="CJ30" s="383">
        <f>SUM($AI30,$AK30,$AM30,$AO30,$AQ30)</f>
        <v>1705264</v>
      </c>
      <c r="CK30" s="384">
        <f>SUM($AH30,$AJ30,$AN30,$AP30,$AR30)</f>
        <v>38700</v>
      </c>
      <c r="CL30" s="385">
        <f>SUM(CJ30,CK30)</f>
        <v>1743964</v>
      </c>
      <c r="CM30" s="383">
        <f>SUM($AK30,$AM30,$AO30,$AQ30)</f>
        <v>852632</v>
      </c>
      <c r="CN30" s="384">
        <f>SUM($AJ30,$AN30,$AP30,$AR30)</f>
        <v>13000</v>
      </c>
      <c r="CO30" s="385">
        <f>SUM(CM30,CN30)</f>
        <v>865632</v>
      </c>
      <c r="CP30" s="383">
        <f>SUM($AM30,$AO30,$AQ30)</f>
        <v>0</v>
      </c>
      <c r="CQ30" s="384">
        <f>SUM($AN30,$AP30,$AR30)</f>
        <v>0</v>
      </c>
      <c r="CR30" s="385">
        <f>SUM(CP30,CQ30)</f>
        <v>0</v>
      </c>
      <c r="CS30" s="383">
        <f>SUM($AO30,$AQ30)</f>
        <v>0</v>
      </c>
      <c r="CT30" s="384">
        <f>SUM($AP30,$AR30)</f>
        <v>0</v>
      </c>
      <c r="CU30" s="385">
        <f>SUM(CS30,CT30)</f>
        <v>0</v>
      </c>
      <c r="CV30" s="383">
        <f>SUM($AQ30)</f>
        <v>0</v>
      </c>
      <c r="CW30" s="384">
        <f>SUM($AR30)</f>
        <v>0</v>
      </c>
      <c r="CX30" s="385">
        <f>SUM(CV30,CW30)</f>
        <v>0</v>
      </c>
    </row>
    <row r="31" spans="1:102" ht="13.5" thickBot="1">
      <c r="A31" s="388" t="s">
        <v>266</v>
      </c>
      <c r="B31" s="389">
        <f>SUM(B14:B29)</f>
        <v>5721941</v>
      </c>
      <c r="C31" s="356">
        <f>SUM(C14:C29)</f>
        <v>670898</v>
      </c>
      <c r="D31" s="357">
        <f>SUM(D14:D29)</f>
        <v>114815</v>
      </c>
      <c r="E31" s="356">
        <f>SUM(E14:E29)</f>
        <v>7851589</v>
      </c>
      <c r="F31" s="357">
        <f>SUM(F14:F29)</f>
        <v>1895095</v>
      </c>
      <c r="G31" s="356">
        <f t="shared" ref="G31:AR31" si="67">SUM(G14:G30)</f>
        <v>698867</v>
      </c>
      <c r="H31" s="357">
        <f t="shared" si="67"/>
        <v>76571</v>
      </c>
      <c r="I31" s="356">
        <f t="shared" si="67"/>
        <v>660865</v>
      </c>
      <c r="J31" s="357">
        <f t="shared" si="67"/>
        <v>294826</v>
      </c>
      <c r="K31" s="356">
        <f t="shared" si="67"/>
        <v>601396</v>
      </c>
      <c r="L31" s="357">
        <f>SUM(L14:L30)</f>
        <v>307817</v>
      </c>
      <c r="M31" s="356">
        <f t="shared" si="67"/>
        <v>1013994</v>
      </c>
      <c r="N31" s="357">
        <f t="shared" si="67"/>
        <v>437794</v>
      </c>
      <c r="O31" s="356">
        <f t="shared" si="67"/>
        <v>1544277</v>
      </c>
      <c r="P31" s="357">
        <f t="shared" si="67"/>
        <v>412567</v>
      </c>
      <c r="Q31" s="356">
        <f t="shared" si="67"/>
        <v>1514964</v>
      </c>
      <c r="R31" s="357">
        <f t="shared" si="67"/>
        <v>367846</v>
      </c>
      <c r="S31" s="356">
        <f t="shared" si="67"/>
        <v>1463969</v>
      </c>
      <c r="T31" s="357">
        <f t="shared" si="67"/>
        <v>324777</v>
      </c>
      <c r="U31" s="356">
        <f t="shared" si="67"/>
        <v>1367151</v>
      </c>
      <c r="V31" s="357">
        <f t="shared" si="67"/>
        <v>283397</v>
      </c>
      <c r="W31" s="356">
        <f t="shared" si="67"/>
        <v>1346808</v>
      </c>
      <c r="X31" s="357">
        <f t="shared" si="67"/>
        <v>244700</v>
      </c>
      <c r="Y31" s="356">
        <f t="shared" si="67"/>
        <v>1346808</v>
      </c>
      <c r="Z31" s="357">
        <f t="shared" si="67"/>
        <v>205354</v>
      </c>
      <c r="AA31" s="356">
        <f t="shared" si="67"/>
        <v>1346808</v>
      </c>
      <c r="AB31" s="357">
        <f t="shared" si="67"/>
        <v>166407</v>
      </c>
      <c r="AC31" s="356">
        <f t="shared" si="67"/>
        <v>1346808</v>
      </c>
      <c r="AD31" s="357">
        <f t="shared" si="67"/>
        <v>127761</v>
      </c>
      <c r="AE31" s="356">
        <f t="shared" si="67"/>
        <v>1346808</v>
      </c>
      <c r="AF31" s="357">
        <f t="shared" si="67"/>
        <v>88614</v>
      </c>
      <c r="AG31" s="356">
        <f t="shared" si="67"/>
        <v>1346808</v>
      </c>
      <c r="AH31" s="357">
        <f t="shared" si="67"/>
        <v>49668</v>
      </c>
      <c r="AI31" s="356">
        <f t="shared" si="67"/>
        <v>852632</v>
      </c>
      <c r="AJ31" s="357">
        <f t="shared" si="67"/>
        <v>13000</v>
      </c>
      <c r="AK31" s="356">
        <f t="shared" si="67"/>
        <v>852632</v>
      </c>
      <c r="AL31" s="357">
        <f t="shared" si="67"/>
        <v>8600</v>
      </c>
      <c r="AM31" s="356">
        <f t="shared" si="67"/>
        <v>0</v>
      </c>
      <c r="AN31" s="357">
        <f t="shared" si="67"/>
        <v>0</v>
      </c>
      <c r="AO31" s="356">
        <f t="shared" si="67"/>
        <v>0</v>
      </c>
      <c r="AP31" s="357">
        <f t="shared" si="67"/>
        <v>0</v>
      </c>
      <c r="AQ31" s="356">
        <f t="shared" si="67"/>
        <v>0</v>
      </c>
      <c r="AR31" s="357">
        <f t="shared" si="67"/>
        <v>0</v>
      </c>
      <c r="AS31" s="192"/>
      <c r="AT31" s="192"/>
      <c r="AU31" s="361" t="s">
        <v>266</v>
      </c>
      <c r="AV31" s="390">
        <f>SUM(AV14:AV30)</f>
        <v>5721941</v>
      </c>
      <c r="AW31" s="363">
        <f>SUM(AW14:AW30)</f>
        <v>2210961</v>
      </c>
      <c r="AX31" s="364">
        <f>SUM(AX14:AX30)</f>
        <v>140791</v>
      </c>
      <c r="AY31" s="391">
        <f>SUM(AW31,AX31)</f>
        <v>2351752</v>
      </c>
      <c r="AZ31" s="766">
        <f>SUM(AZ14:AZ30)</f>
        <v>10640096</v>
      </c>
      <c r="BA31" s="364">
        <f>SUM(BA14:BA30)</f>
        <v>1589218</v>
      </c>
      <c r="BB31" s="391">
        <f>SUM(BB14:BB17)</f>
        <v>747293</v>
      </c>
      <c r="BC31" s="766">
        <f>SUM(BC14:BC30)</f>
        <v>16690465</v>
      </c>
      <c r="BD31" s="364">
        <f>SUM(BD14:BD30)</f>
        <v>2990640</v>
      </c>
      <c r="BE31" s="391">
        <f>SUM(BC31,BD31)</f>
        <v>19681105</v>
      </c>
      <c r="BF31" s="766">
        <f>SUM(BF14:BF30)</f>
        <v>15676471</v>
      </c>
      <c r="BG31" s="364">
        <f>SUM(BG14:BG30)</f>
        <v>2437591</v>
      </c>
      <c r="BH31" s="391">
        <f>SUM(BF31:BG31)</f>
        <v>18114062</v>
      </c>
      <c r="BI31" s="766">
        <f>SUM(BI14:BI30)</f>
        <v>14132194</v>
      </c>
      <c r="BJ31" s="364">
        <f>SUM(BJ14:BJ30)</f>
        <v>2012524</v>
      </c>
      <c r="BK31" s="391">
        <f>SUM(BI31:BJ31)</f>
        <v>16144718</v>
      </c>
      <c r="BL31" s="766">
        <f>SUM(BL14:BL30)</f>
        <v>12617230</v>
      </c>
      <c r="BM31" s="364">
        <f>SUM(BM14:BM30)</f>
        <v>1631678</v>
      </c>
      <c r="BN31" s="391">
        <f>SUM(BL31:BM31)</f>
        <v>14248908</v>
      </c>
      <c r="BO31" s="766">
        <f>SUM(BO14:BO30)</f>
        <v>11153261</v>
      </c>
      <c r="BP31" s="364">
        <f>SUM(BP14:BP30)</f>
        <v>1294401</v>
      </c>
      <c r="BQ31" s="391">
        <f>SUM(BO31:BP31)</f>
        <v>12447662</v>
      </c>
      <c r="BR31" s="766">
        <f>SUM(BR14:BR30)</f>
        <v>9786112</v>
      </c>
      <c r="BS31" s="364">
        <f>SUM(BS14:BS30)</f>
        <v>998004</v>
      </c>
      <c r="BT31" s="391">
        <f>SUM(BR31:BS31)</f>
        <v>10784116</v>
      </c>
      <c r="BU31" s="766">
        <f>SUM(BU14:BU30)</f>
        <v>8439304</v>
      </c>
      <c r="BV31" s="364">
        <f>SUM(BV14:BV30)</f>
        <v>740804</v>
      </c>
      <c r="BW31" s="391">
        <f>SUM(BU31:BV31)</f>
        <v>9180108</v>
      </c>
      <c r="BX31" s="766">
        <f>SUM(BX14:BX30)</f>
        <v>7092496</v>
      </c>
      <c r="BY31" s="364">
        <f>SUM(BY14:BY30)</f>
        <v>522250</v>
      </c>
      <c r="BZ31" s="391">
        <f>SUM(BX31:BY31)</f>
        <v>7614746</v>
      </c>
      <c r="CA31" s="766">
        <f>SUM(CA14:CA30)</f>
        <v>5745688</v>
      </c>
      <c r="CB31" s="364">
        <f>SUM(CB14:CB30)</f>
        <v>343043</v>
      </c>
      <c r="CC31" s="391">
        <f>SUM(CA31:CB31)</f>
        <v>6088731</v>
      </c>
      <c r="CD31" s="766">
        <f>SUM(CD14:CD30)</f>
        <v>4398880</v>
      </c>
      <c r="CE31" s="364">
        <f>SUM(CE14:CE30)</f>
        <v>202782</v>
      </c>
      <c r="CF31" s="391">
        <f>SUM(CD31:CE31)</f>
        <v>4601662</v>
      </c>
      <c r="CG31" s="766">
        <f>SUM(CG14:CG30)</f>
        <v>3052072</v>
      </c>
      <c r="CH31" s="364">
        <f>SUM(CH14:CH30)</f>
        <v>101168</v>
      </c>
      <c r="CI31" s="391">
        <f>SUM(CG31:CH31)</f>
        <v>3153240</v>
      </c>
      <c r="CJ31" s="766">
        <f>SUM(CJ14:CJ30)</f>
        <v>1705264</v>
      </c>
      <c r="CK31" s="364">
        <f>SUM(CK14:CK30)</f>
        <v>38700</v>
      </c>
      <c r="CL31" s="391">
        <f>SUM(CJ31:CK31)</f>
        <v>1743964</v>
      </c>
      <c r="CM31" s="766">
        <f>SUM(CM14:CM30)</f>
        <v>852632</v>
      </c>
      <c r="CN31" s="364">
        <f>SUM(CN14:CN30)</f>
        <v>13000</v>
      </c>
      <c r="CO31" s="391">
        <f>SUM(CM31:CN31)</f>
        <v>865632</v>
      </c>
      <c r="CP31" s="766">
        <f>SUM(CP14:CP30)</f>
        <v>0</v>
      </c>
      <c r="CQ31" s="364">
        <f>SUM(CQ14:CQ30)</f>
        <v>0</v>
      </c>
      <c r="CR31" s="391">
        <f>SUM(CP31:CQ31)</f>
        <v>0</v>
      </c>
      <c r="CS31" s="766">
        <f>SUM(CS14:CS30)</f>
        <v>0</v>
      </c>
      <c r="CT31" s="364">
        <f>SUM(CT14:CT30)</f>
        <v>0</v>
      </c>
      <c r="CU31" s="391">
        <f>SUM(CS31:CT31)</f>
        <v>0</v>
      </c>
      <c r="CV31" s="766">
        <f>SUM(CV14:CV30)</f>
        <v>0</v>
      </c>
      <c r="CW31" s="364">
        <f>SUM(CW14:CW30)</f>
        <v>0</v>
      </c>
      <c r="CX31" s="391">
        <f>SUM(CV31:CW31)</f>
        <v>0</v>
      </c>
    </row>
    <row r="32" spans="1:102" ht="13.5">
      <c r="A32" s="392"/>
      <c r="B32" s="393" t="s">
        <v>263</v>
      </c>
      <c r="C32" s="1723">
        <f>SUM(C31,D31)</f>
        <v>785713</v>
      </c>
      <c r="D32" s="1724"/>
      <c r="E32" s="1723">
        <f>SUM(E31,F31)</f>
        <v>9746684</v>
      </c>
      <c r="F32" s="1724"/>
      <c r="G32" s="1723">
        <f>SUM(G31,H31)</f>
        <v>775438</v>
      </c>
      <c r="H32" s="1724"/>
      <c r="I32" s="1723">
        <f>SUM(I31,J31)</f>
        <v>955691</v>
      </c>
      <c r="J32" s="1724"/>
      <c r="K32" s="1721">
        <f>SUM(K31,L31)</f>
        <v>909213</v>
      </c>
      <c r="L32" s="1722"/>
      <c r="M32" s="1723">
        <f>SUM(M31,N31)</f>
        <v>1451788</v>
      </c>
      <c r="N32" s="1724"/>
      <c r="O32" s="1721">
        <f>SUM(O31,P31)</f>
        <v>1956844</v>
      </c>
      <c r="P32" s="1722"/>
      <c r="Q32" s="1723">
        <f>SUM(Q31,R31)</f>
        <v>1882810</v>
      </c>
      <c r="R32" s="1724"/>
      <c r="S32" s="1721">
        <f>SUM(S31,T31)</f>
        <v>1788746</v>
      </c>
      <c r="T32" s="1722"/>
      <c r="U32" s="1723">
        <f>SUM(U31,V31)</f>
        <v>1650548</v>
      </c>
      <c r="V32" s="1724"/>
      <c r="W32" s="1721">
        <f>SUM(W31,X31)</f>
        <v>1591508</v>
      </c>
      <c r="X32" s="1722"/>
      <c r="Y32" s="1723">
        <f>SUM(Y31,Z31)</f>
        <v>1552162</v>
      </c>
      <c r="Z32" s="1724"/>
      <c r="AA32" s="1721">
        <f>SUM(AA31,AB31)</f>
        <v>1513215</v>
      </c>
      <c r="AB32" s="1722"/>
      <c r="AC32" s="1723">
        <f>SUM(AC31,AD31)</f>
        <v>1474569</v>
      </c>
      <c r="AD32" s="1724"/>
      <c r="AE32" s="1721">
        <f>SUM(AE31,AF31)</f>
        <v>1435422</v>
      </c>
      <c r="AF32" s="1724"/>
      <c r="AG32" s="1721">
        <f>SUM(AG31,AH31)</f>
        <v>1396476</v>
      </c>
      <c r="AH32" s="1725"/>
      <c r="AI32" s="1721">
        <f>SUM(AI31,AJ31)</f>
        <v>865632</v>
      </c>
      <c r="AJ32" s="1725"/>
      <c r="AK32" s="1721">
        <f>SUM(AK31,AL31)</f>
        <v>861232</v>
      </c>
      <c r="AL32" s="1725"/>
      <c r="AM32" s="1721">
        <f>SUM(AM31,AN31)</f>
        <v>0</v>
      </c>
      <c r="AN32" s="1725"/>
      <c r="AO32" s="1721">
        <f>SUM(AO31,AP31)</f>
        <v>0</v>
      </c>
      <c r="AP32" s="1725"/>
      <c r="AQ32" s="1721">
        <f>SUM(AQ31,AR31)</f>
        <v>0</v>
      </c>
      <c r="AR32" s="1725"/>
      <c r="AS32" s="192"/>
      <c r="AT32" s="192"/>
      <c r="AU32" s="335"/>
      <c r="AV32" s="335"/>
      <c r="AW32" s="394"/>
      <c r="AX32" s="395"/>
      <c r="AY32" s="396"/>
      <c r="AZ32" s="397"/>
      <c r="BA32" s="398"/>
      <c r="BB32" s="399"/>
      <c r="BC32" s="397"/>
      <c r="BD32" s="398"/>
      <c r="BE32" s="399"/>
      <c r="BF32" s="397"/>
      <c r="BG32" s="398"/>
      <c r="BH32" s="399"/>
      <c r="BI32" s="397"/>
      <c r="BJ32" s="398"/>
      <c r="BK32" s="399"/>
      <c r="BL32" s="397"/>
      <c r="BM32" s="398"/>
      <c r="BN32" s="399"/>
      <c r="BO32" s="397"/>
      <c r="BP32" s="398"/>
      <c r="BQ32" s="399"/>
      <c r="BR32" s="397"/>
      <c r="BS32" s="398"/>
      <c r="BT32" s="399"/>
      <c r="BU32" s="397"/>
      <c r="BV32" s="398"/>
      <c r="BW32" s="399"/>
      <c r="BX32" s="397"/>
      <c r="BY32" s="398"/>
      <c r="BZ32" s="399"/>
      <c r="CA32" s="397"/>
      <c r="CB32" s="398"/>
      <c r="CC32" s="399"/>
      <c r="CD32" s="397"/>
      <c r="CE32" s="398"/>
      <c r="CF32" s="399"/>
      <c r="CG32" s="397"/>
      <c r="CH32" s="398"/>
      <c r="CI32" s="399"/>
      <c r="CJ32" s="397"/>
      <c r="CK32" s="398"/>
      <c r="CL32" s="399"/>
      <c r="CM32" s="397"/>
      <c r="CN32" s="398"/>
      <c r="CO32" s="399"/>
      <c r="CP32" s="397"/>
      <c r="CQ32" s="398"/>
      <c r="CR32" s="399"/>
      <c r="CS32" s="397"/>
      <c r="CT32" s="398"/>
      <c r="CU32" s="399"/>
      <c r="CV32" s="397"/>
      <c r="CW32" s="398"/>
      <c r="CX32" s="399"/>
    </row>
    <row r="33" spans="1:102">
      <c r="A33" s="1726" t="s">
        <v>267</v>
      </c>
      <c r="B33" s="1727"/>
      <c r="C33" s="400">
        <f t="shared" ref="C33:AR33" si="68">SUM(C11,C31)</f>
        <v>670898</v>
      </c>
      <c r="D33" s="401">
        <f t="shared" si="68"/>
        <v>114815</v>
      </c>
      <c r="E33" s="400">
        <f t="shared" si="68"/>
        <v>12051589</v>
      </c>
      <c r="F33" s="401">
        <f t="shared" si="68"/>
        <v>3710557</v>
      </c>
      <c r="G33" s="400">
        <f t="shared" si="68"/>
        <v>698867</v>
      </c>
      <c r="H33" s="401">
        <f t="shared" si="68"/>
        <v>76571</v>
      </c>
      <c r="I33" s="400">
        <f t="shared" si="68"/>
        <v>660865</v>
      </c>
      <c r="J33" s="401">
        <f t="shared" si="68"/>
        <v>337094</v>
      </c>
      <c r="K33" s="402">
        <f t="shared" si="68"/>
        <v>601396</v>
      </c>
      <c r="L33" s="403">
        <f t="shared" si="68"/>
        <v>595891</v>
      </c>
      <c r="M33" s="400">
        <f t="shared" si="68"/>
        <v>1337994</v>
      </c>
      <c r="N33" s="401">
        <f t="shared" si="68"/>
        <v>649894</v>
      </c>
      <c r="O33" s="402">
        <f t="shared" si="68"/>
        <v>1868277</v>
      </c>
      <c r="P33" s="403">
        <f t="shared" si="68"/>
        <v>608367</v>
      </c>
      <c r="Q33" s="400">
        <f t="shared" si="68"/>
        <v>1838964</v>
      </c>
      <c r="R33" s="401">
        <f t="shared" si="68"/>
        <v>547346</v>
      </c>
      <c r="S33" s="402">
        <f t="shared" si="68"/>
        <v>1787969</v>
      </c>
      <c r="T33" s="403">
        <f t="shared" si="68"/>
        <v>487977</v>
      </c>
      <c r="U33" s="400">
        <f t="shared" si="68"/>
        <v>1691151</v>
      </c>
      <c r="V33" s="401">
        <f t="shared" si="68"/>
        <v>430297</v>
      </c>
      <c r="W33" s="402">
        <f t="shared" si="68"/>
        <v>1670808</v>
      </c>
      <c r="X33" s="403">
        <f t="shared" si="68"/>
        <v>375300</v>
      </c>
      <c r="Y33" s="400">
        <f t="shared" si="68"/>
        <v>1670808</v>
      </c>
      <c r="Z33" s="401">
        <f t="shared" si="68"/>
        <v>319554</v>
      </c>
      <c r="AA33" s="402">
        <f t="shared" si="68"/>
        <v>1670808</v>
      </c>
      <c r="AB33" s="403">
        <f t="shared" si="68"/>
        <v>264307</v>
      </c>
      <c r="AC33" s="400">
        <f t="shared" si="68"/>
        <v>1670808</v>
      </c>
      <c r="AD33" s="401">
        <f t="shared" si="68"/>
        <v>209361</v>
      </c>
      <c r="AE33" s="402">
        <f t="shared" si="68"/>
        <v>1670808</v>
      </c>
      <c r="AF33" s="401">
        <f t="shared" si="68"/>
        <v>153914</v>
      </c>
      <c r="AG33" s="402">
        <f t="shared" si="68"/>
        <v>1670808</v>
      </c>
      <c r="AH33" s="404">
        <f t="shared" si="68"/>
        <v>98668</v>
      </c>
      <c r="AI33" s="402">
        <f t="shared" si="68"/>
        <v>1176632</v>
      </c>
      <c r="AJ33" s="404">
        <f t="shared" si="68"/>
        <v>45700</v>
      </c>
      <c r="AK33" s="402">
        <f t="shared" si="68"/>
        <v>1164632</v>
      </c>
      <c r="AL33" s="404">
        <f t="shared" si="68"/>
        <v>24920</v>
      </c>
      <c r="AM33" s="402">
        <f t="shared" si="68"/>
        <v>0</v>
      </c>
      <c r="AN33" s="404">
        <f t="shared" si="68"/>
        <v>0</v>
      </c>
      <c r="AO33" s="402">
        <f t="shared" si="68"/>
        <v>0</v>
      </c>
      <c r="AP33" s="404">
        <f t="shared" si="68"/>
        <v>0</v>
      </c>
      <c r="AQ33" s="402">
        <f t="shared" si="68"/>
        <v>0</v>
      </c>
      <c r="AR33" s="404">
        <f t="shared" si="68"/>
        <v>0</v>
      </c>
      <c r="AS33" s="192"/>
      <c r="AT33" s="192"/>
      <c r="AU33" s="405" t="s">
        <v>267</v>
      </c>
      <c r="AV33" s="406"/>
      <c r="AW33" s="407">
        <f t="shared" ref="AW33:CB33" si="69">SUM(AW11+AW31)</f>
        <v>2210961</v>
      </c>
      <c r="AX33" s="408">
        <f t="shared" si="69"/>
        <v>140791</v>
      </c>
      <c r="AY33" s="409">
        <f t="shared" si="69"/>
        <v>2351752</v>
      </c>
      <c r="AZ33" s="407">
        <f t="shared" si="69"/>
        <v>11232096</v>
      </c>
      <c r="BA33" s="408">
        <f t="shared" si="69"/>
        <v>3313392</v>
      </c>
      <c r="BB33" s="409">
        <f t="shared" si="69"/>
        <v>3063467</v>
      </c>
      <c r="BC33" s="407">
        <f t="shared" si="69"/>
        <v>20890465</v>
      </c>
      <c r="BD33" s="408">
        <f t="shared" si="69"/>
        <v>4426740</v>
      </c>
      <c r="BE33" s="409">
        <f t="shared" si="69"/>
        <v>25317205</v>
      </c>
      <c r="BF33" s="407">
        <f t="shared" si="69"/>
        <v>19552471</v>
      </c>
      <c r="BG33" s="408">
        <f t="shared" si="69"/>
        <v>3661591</v>
      </c>
      <c r="BH33" s="409">
        <f t="shared" si="69"/>
        <v>23214062</v>
      </c>
      <c r="BI33" s="407">
        <f t="shared" si="69"/>
        <v>17684194</v>
      </c>
      <c r="BJ33" s="408">
        <f t="shared" si="69"/>
        <v>3040724</v>
      </c>
      <c r="BK33" s="409">
        <f t="shared" si="69"/>
        <v>20724918</v>
      </c>
      <c r="BL33" s="407">
        <f t="shared" si="69"/>
        <v>15845230</v>
      </c>
      <c r="BM33" s="408">
        <f t="shared" si="69"/>
        <v>2480378</v>
      </c>
      <c r="BN33" s="409">
        <f t="shared" si="69"/>
        <v>18325608</v>
      </c>
      <c r="BO33" s="407">
        <f t="shared" si="69"/>
        <v>14057261</v>
      </c>
      <c r="BP33" s="408">
        <f t="shared" si="69"/>
        <v>1979901</v>
      </c>
      <c r="BQ33" s="409">
        <f t="shared" si="69"/>
        <v>16037162</v>
      </c>
      <c r="BR33" s="407">
        <f t="shared" si="69"/>
        <v>12366112</v>
      </c>
      <c r="BS33" s="408">
        <f t="shared" si="69"/>
        <v>1536604</v>
      </c>
      <c r="BT33" s="409">
        <f t="shared" si="69"/>
        <v>13902716</v>
      </c>
      <c r="BU33" s="407">
        <f t="shared" si="69"/>
        <v>10695304</v>
      </c>
      <c r="BV33" s="408">
        <f t="shared" si="69"/>
        <v>1148804</v>
      </c>
      <c r="BW33" s="409">
        <f t="shared" si="69"/>
        <v>11844108</v>
      </c>
      <c r="BX33" s="407">
        <f t="shared" si="69"/>
        <v>9024496</v>
      </c>
      <c r="BY33" s="408">
        <f t="shared" si="69"/>
        <v>816050</v>
      </c>
      <c r="BZ33" s="409">
        <f t="shared" si="69"/>
        <v>9840546</v>
      </c>
      <c r="CA33" s="407">
        <f t="shared" si="69"/>
        <v>7353688</v>
      </c>
      <c r="CB33" s="408">
        <f t="shared" si="69"/>
        <v>538943</v>
      </c>
      <c r="CC33" s="409">
        <f t="shared" ref="CC33:CX33" si="70">SUM(CC11+CC31)</f>
        <v>7892631</v>
      </c>
      <c r="CD33" s="407">
        <f t="shared" si="70"/>
        <v>5682880</v>
      </c>
      <c r="CE33" s="408">
        <f t="shared" si="70"/>
        <v>317082</v>
      </c>
      <c r="CF33" s="409">
        <f t="shared" si="70"/>
        <v>5999962</v>
      </c>
      <c r="CG33" s="407">
        <f t="shared" si="70"/>
        <v>4012072</v>
      </c>
      <c r="CH33" s="408">
        <f t="shared" si="70"/>
        <v>150168</v>
      </c>
      <c r="CI33" s="409">
        <f t="shared" si="70"/>
        <v>4162240</v>
      </c>
      <c r="CJ33" s="407">
        <f t="shared" si="70"/>
        <v>2341264</v>
      </c>
      <c r="CK33" s="408">
        <f t="shared" si="70"/>
        <v>87700</v>
      </c>
      <c r="CL33" s="409">
        <f t="shared" si="70"/>
        <v>2428964</v>
      </c>
      <c r="CM33" s="407">
        <f t="shared" si="70"/>
        <v>1164632</v>
      </c>
      <c r="CN33" s="408">
        <f t="shared" si="70"/>
        <v>62000</v>
      </c>
      <c r="CO33" s="409">
        <f t="shared" si="70"/>
        <v>1226632</v>
      </c>
      <c r="CP33" s="407">
        <f t="shared" si="70"/>
        <v>0</v>
      </c>
      <c r="CQ33" s="408">
        <f t="shared" si="70"/>
        <v>49000</v>
      </c>
      <c r="CR33" s="409">
        <f t="shared" si="70"/>
        <v>49000</v>
      </c>
      <c r="CS33" s="407">
        <f t="shared" si="70"/>
        <v>0</v>
      </c>
      <c r="CT33" s="408">
        <f t="shared" si="70"/>
        <v>49000</v>
      </c>
      <c r="CU33" s="409">
        <f t="shared" si="70"/>
        <v>49000</v>
      </c>
      <c r="CV33" s="407">
        <f t="shared" si="70"/>
        <v>0</v>
      </c>
      <c r="CW33" s="408">
        <f t="shared" si="70"/>
        <v>49000</v>
      </c>
      <c r="CX33" s="409">
        <f t="shared" si="70"/>
        <v>49000</v>
      </c>
    </row>
    <row r="34" spans="1:102" ht="13.5" thickBot="1">
      <c r="A34" s="1728" t="s">
        <v>268</v>
      </c>
      <c r="B34" s="1729"/>
      <c r="C34" s="1718">
        <f>SUM(C33,D33)</f>
        <v>785713</v>
      </c>
      <c r="D34" s="1719"/>
      <c r="E34" s="410"/>
      <c r="F34" s="411"/>
      <c r="G34" s="1718">
        <f>SUM(G33,H33)</f>
        <v>775438</v>
      </c>
      <c r="H34" s="1719"/>
      <c r="I34" s="1718">
        <f>SUM(I33,J33)</f>
        <v>997959</v>
      </c>
      <c r="J34" s="1719"/>
      <c r="K34" s="1716">
        <f>SUM(K33,L33)</f>
        <v>1197287</v>
      </c>
      <c r="L34" s="1717"/>
      <c r="M34" s="1718">
        <f>SUM(M33,N33)</f>
        <v>1987888</v>
      </c>
      <c r="N34" s="1719"/>
      <c r="O34" s="1716">
        <f>SUM(O33,P33)</f>
        <v>2476644</v>
      </c>
      <c r="P34" s="1717"/>
      <c r="Q34" s="1718">
        <f>SUM(Q33,R33)</f>
        <v>2386310</v>
      </c>
      <c r="R34" s="1719"/>
      <c r="S34" s="412"/>
      <c r="T34" s="413"/>
      <c r="U34" s="1718">
        <f>SUM(U33,V33)</f>
        <v>2121448</v>
      </c>
      <c r="V34" s="1719"/>
      <c r="W34" s="1716">
        <f>SUM(W33,X33)</f>
        <v>2046108</v>
      </c>
      <c r="X34" s="1717"/>
      <c r="Y34" s="1718">
        <f>SUM(Y33,Z33)</f>
        <v>1990362</v>
      </c>
      <c r="Z34" s="1719"/>
      <c r="AA34" s="1716">
        <f>SUM(AA33,AB33)</f>
        <v>1935115</v>
      </c>
      <c r="AB34" s="1717"/>
      <c r="AC34" s="1718">
        <f>SUM(AC33,AD33)</f>
        <v>1880169</v>
      </c>
      <c r="AD34" s="1719"/>
      <c r="AE34" s="1716">
        <f>SUM(AE33,AF33)</f>
        <v>1824722</v>
      </c>
      <c r="AF34" s="1719"/>
      <c r="AG34" s="1716">
        <f>SUM(AG33,AH33)</f>
        <v>1769476</v>
      </c>
      <c r="AH34" s="1720"/>
      <c r="AI34" s="1716">
        <f>SUM(AI33,AJ33)</f>
        <v>1222332</v>
      </c>
      <c r="AJ34" s="1720"/>
      <c r="AK34" s="1716">
        <f>SUM(AK33,AL33)</f>
        <v>1189552</v>
      </c>
      <c r="AL34" s="1720"/>
      <c r="AM34" s="1716">
        <f>SUM(AM33,AN33)</f>
        <v>0</v>
      </c>
      <c r="AN34" s="1720"/>
      <c r="AO34" s="1716">
        <f>SUM(AO33,AP33)</f>
        <v>0</v>
      </c>
      <c r="AP34" s="1720"/>
      <c r="AQ34" s="1716">
        <f>SUM(AQ33,AR33)</f>
        <v>0</v>
      </c>
      <c r="AR34" s="1720"/>
      <c r="AS34" s="192"/>
      <c r="AT34" s="192"/>
      <c r="AU34" s="335"/>
      <c r="AV34" s="335"/>
      <c r="AW34" s="1708"/>
      <c r="AX34" s="1709"/>
      <c r="AY34" s="1710"/>
      <c r="AZ34" s="1708"/>
      <c r="BA34" s="1709"/>
      <c r="BB34" s="1710"/>
      <c r="BC34" s="1708"/>
      <c r="BD34" s="1709"/>
      <c r="BE34" s="1710"/>
      <c r="BF34" s="1708"/>
      <c r="BG34" s="1709"/>
      <c r="BH34" s="1710"/>
      <c r="BI34" s="1708"/>
      <c r="BJ34" s="1709"/>
      <c r="BK34" s="1710"/>
      <c r="BL34" s="1708"/>
      <c r="BM34" s="1709"/>
      <c r="BN34" s="1710"/>
      <c r="BO34" s="1708"/>
      <c r="BP34" s="1709"/>
      <c r="BQ34" s="1710"/>
      <c r="BR34" s="1708"/>
      <c r="BS34" s="1709"/>
      <c r="BT34" s="1710"/>
      <c r="BU34" s="1708"/>
      <c r="BV34" s="1709"/>
      <c r="BW34" s="1710"/>
      <c r="BX34" s="1708"/>
      <c r="BY34" s="1709"/>
      <c r="BZ34" s="1710"/>
      <c r="CA34" s="1708"/>
      <c r="CB34" s="1709"/>
      <c r="CC34" s="1710"/>
      <c r="CD34" s="1708"/>
      <c r="CE34" s="1709"/>
      <c r="CF34" s="1710"/>
      <c r="CG34" s="1708"/>
      <c r="CH34" s="1709"/>
      <c r="CI34" s="1710"/>
      <c r="CJ34" s="1708"/>
      <c r="CK34" s="1709"/>
      <c r="CL34" s="1710"/>
      <c r="CM34" s="1708"/>
      <c r="CN34" s="1709"/>
      <c r="CO34" s="1710"/>
      <c r="CP34" s="1708"/>
      <c r="CQ34" s="1709"/>
      <c r="CR34" s="1710"/>
      <c r="CS34" s="1708"/>
      <c r="CT34" s="1709"/>
      <c r="CU34" s="1710"/>
      <c r="CV34" s="1708"/>
      <c r="CW34" s="1709"/>
      <c r="CX34" s="1710"/>
    </row>
    <row r="35" spans="1:102" ht="27" customHeight="1">
      <c r="A35" s="366" t="s">
        <v>269</v>
      </c>
      <c r="B35" s="369" t="s">
        <v>270</v>
      </c>
      <c r="C35" s="370" t="s">
        <v>258</v>
      </c>
      <c r="D35" s="371" t="s">
        <v>259</v>
      </c>
      <c r="E35" s="370" t="s">
        <v>258</v>
      </c>
      <c r="F35" s="371" t="s">
        <v>259</v>
      </c>
      <c r="G35" s="370" t="s">
        <v>258</v>
      </c>
      <c r="H35" s="371" t="s">
        <v>259</v>
      </c>
      <c r="I35" s="370" t="s">
        <v>258</v>
      </c>
      <c r="J35" s="371" t="s">
        <v>259</v>
      </c>
      <c r="K35" s="372" t="s">
        <v>258</v>
      </c>
      <c r="L35" s="369" t="s">
        <v>259</v>
      </c>
      <c r="M35" s="370" t="s">
        <v>258</v>
      </c>
      <c r="N35" s="371" t="s">
        <v>259</v>
      </c>
      <c r="O35" s="372" t="s">
        <v>258</v>
      </c>
      <c r="P35" s="369" t="s">
        <v>259</v>
      </c>
      <c r="Q35" s="370" t="s">
        <v>258</v>
      </c>
      <c r="R35" s="371" t="s">
        <v>259</v>
      </c>
      <c r="S35" s="372" t="s">
        <v>258</v>
      </c>
      <c r="T35" s="369" t="s">
        <v>259</v>
      </c>
      <c r="U35" s="370" t="s">
        <v>258</v>
      </c>
      <c r="V35" s="371" t="s">
        <v>259</v>
      </c>
      <c r="W35" s="372" t="s">
        <v>258</v>
      </c>
      <c r="X35" s="369" t="s">
        <v>259</v>
      </c>
      <c r="Y35" s="370" t="s">
        <v>258</v>
      </c>
      <c r="Z35" s="371" t="s">
        <v>259</v>
      </c>
      <c r="AA35" s="372" t="s">
        <v>258</v>
      </c>
      <c r="AB35" s="369" t="s">
        <v>259</v>
      </c>
      <c r="AC35" s="370" t="s">
        <v>258</v>
      </c>
      <c r="AD35" s="371" t="s">
        <v>259</v>
      </c>
      <c r="AE35" s="372" t="s">
        <v>258</v>
      </c>
      <c r="AF35" s="371" t="s">
        <v>259</v>
      </c>
      <c r="AG35" s="372" t="s">
        <v>258</v>
      </c>
      <c r="AH35" s="373" t="s">
        <v>259</v>
      </c>
      <c r="AI35" s="372" t="s">
        <v>258</v>
      </c>
      <c r="AJ35" s="373" t="s">
        <v>259</v>
      </c>
      <c r="AK35" s="372" t="s">
        <v>258</v>
      </c>
      <c r="AL35" s="373" t="s">
        <v>259</v>
      </c>
      <c r="AM35" s="372" t="s">
        <v>258</v>
      </c>
      <c r="AN35" s="373" t="s">
        <v>259</v>
      </c>
      <c r="AO35" s="372" t="s">
        <v>258</v>
      </c>
      <c r="AP35" s="373" t="s">
        <v>259</v>
      </c>
      <c r="AQ35" s="372" t="s">
        <v>258</v>
      </c>
      <c r="AR35" s="373" t="s">
        <v>259</v>
      </c>
      <c r="AS35" s="192"/>
      <c r="AT35" s="192"/>
      <c r="AU35" s="368" t="s">
        <v>269</v>
      </c>
      <c r="AV35" s="361"/>
      <c r="AW35" s="337" t="s">
        <v>258</v>
      </c>
      <c r="AX35" s="338" t="s">
        <v>259</v>
      </c>
      <c r="AY35" s="339" t="s">
        <v>260</v>
      </c>
      <c r="AZ35" s="337" t="s">
        <v>258</v>
      </c>
      <c r="BA35" s="338" t="s">
        <v>259</v>
      </c>
      <c r="BB35" s="339" t="s">
        <v>260</v>
      </c>
      <c r="BC35" s="337" t="s">
        <v>258</v>
      </c>
      <c r="BD35" s="338" t="s">
        <v>259</v>
      </c>
      <c r="BE35" s="339" t="s">
        <v>260</v>
      </c>
      <c r="BF35" s="337" t="s">
        <v>258</v>
      </c>
      <c r="BG35" s="338" t="s">
        <v>259</v>
      </c>
      <c r="BH35" s="339" t="s">
        <v>260</v>
      </c>
      <c r="BI35" s="337" t="s">
        <v>258</v>
      </c>
      <c r="BJ35" s="338" t="s">
        <v>259</v>
      </c>
      <c r="BK35" s="339" t="s">
        <v>260</v>
      </c>
      <c r="BL35" s="337" t="s">
        <v>258</v>
      </c>
      <c r="BM35" s="338" t="s">
        <v>259</v>
      </c>
      <c r="BN35" s="339" t="s">
        <v>260</v>
      </c>
      <c r="BO35" s="337" t="s">
        <v>258</v>
      </c>
      <c r="BP35" s="338" t="s">
        <v>259</v>
      </c>
      <c r="BQ35" s="339" t="s">
        <v>260</v>
      </c>
      <c r="BR35" s="337" t="s">
        <v>258</v>
      </c>
      <c r="BS35" s="338" t="s">
        <v>259</v>
      </c>
      <c r="BT35" s="339" t="s">
        <v>260</v>
      </c>
      <c r="BU35" s="337" t="s">
        <v>258</v>
      </c>
      <c r="BV35" s="338" t="s">
        <v>259</v>
      </c>
      <c r="BW35" s="339" t="s">
        <v>260</v>
      </c>
      <c r="BX35" s="337" t="s">
        <v>258</v>
      </c>
      <c r="BY35" s="338" t="s">
        <v>259</v>
      </c>
      <c r="BZ35" s="339" t="s">
        <v>260</v>
      </c>
      <c r="CA35" s="337" t="s">
        <v>258</v>
      </c>
      <c r="CB35" s="338" t="s">
        <v>259</v>
      </c>
      <c r="CC35" s="339" t="s">
        <v>260</v>
      </c>
      <c r="CD35" s="337" t="s">
        <v>258</v>
      </c>
      <c r="CE35" s="338" t="s">
        <v>259</v>
      </c>
      <c r="CF35" s="339" t="s">
        <v>260</v>
      </c>
      <c r="CG35" s="337" t="s">
        <v>258</v>
      </c>
      <c r="CH35" s="338" t="s">
        <v>259</v>
      </c>
      <c r="CI35" s="339" t="s">
        <v>260</v>
      </c>
      <c r="CJ35" s="337" t="s">
        <v>258</v>
      </c>
      <c r="CK35" s="338" t="s">
        <v>259</v>
      </c>
      <c r="CL35" s="339" t="s">
        <v>260</v>
      </c>
      <c r="CM35" s="337" t="s">
        <v>258</v>
      </c>
      <c r="CN35" s="338" t="s">
        <v>259</v>
      </c>
      <c r="CO35" s="339" t="s">
        <v>260</v>
      </c>
      <c r="CP35" s="337" t="s">
        <v>258</v>
      </c>
      <c r="CQ35" s="338" t="s">
        <v>259</v>
      </c>
      <c r="CR35" s="339" t="s">
        <v>260</v>
      </c>
      <c r="CS35" s="337" t="s">
        <v>258</v>
      </c>
      <c r="CT35" s="338" t="s">
        <v>259</v>
      </c>
      <c r="CU35" s="339" t="s">
        <v>260</v>
      </c>
      <c r="CV35" s="337" t="s">
        <v>258</v>
      </c>
      <c r="CW35" s="338" t="s">
        <v>259</v>
      </c>
      <c r="CX35" s="339" t="s">
        <v>260</v>
      </c>
    </row>
    <row r="36" spans="1:102">
      <c r="A36" s="1122" t="str">
        <f>'HSZ do groszy'!A36</f>
        <v xml:space="preserve">BOŚ </v>
      </c>
      <c r="B36" s="415">
        <f>ROUNDUP('HSZ do groszy'!B36,0)</f>
        <v>12850000</v>
      </c>
      <c r="C36" s="416">
        <f>ROUNDUP('HSZ do groszy'!C36,0)</f>
        <v>3550000</v>
      </c>
      <c r="D36" s="417">
        <f>ROUNDUP('HSZ do groszy'!D36,0)</f>
        <v>273482</v>
      </c>
      <c r="E36" s="582">
        <f t="shared" ref="E36:E57" si="71">G36+I36+K36+M36+O36+Q36+S36+U36+W36+Y36+AA36+AC36+AE36+AG36</f>
        <v>6300000</v>
      </c>
      <c r="F36" s="418">
        <f t="shared" ref="F36:F45" si="72">H36+J36+L36+N36+P36+R36+T36+V36+X36+Z36+AB36+AD36+AF36+AH36</f>
        <v>134305</v>
      </c>
      <c r="G36" s="416">
        <f>ROUNDUP('HSZ do groszy'!G36,0)</f>
        <v>6300000</v>
      </c>
      <c r="H36" s="417">
        <f>ROUNDUP('HSZ do groszy'!H36,0)</f>
        <v>134305</v>
      </c>
      <c r="I36" s="416">
        <f>ROUNDUP('HSZ do groszy'!I36,0)</f>
        <v>0</v>
      </c>
      <c r="J36" s="417">
        <f>ROUNDUP('HSZ do groszy'!J36,0)</f>
        <v>0</v>
      </c>
      <c r="K36" s="419">
        <f>ROUNDUP('HSZ do groszy'!K36,0)</f>
        <v>0</v>
      </c>
      <c r="L36" s="420">
        <f>ROUNDUP('HSZ do groszy'!L36,0)</f>
        <v>0</v>
      </c>
      <c r="M36" s="416">
        <f>ROUNDUP('HSZ do groszy'!M36,0)</f>
        <v>0</v>
      </c>
      <c r="N36" s="417">
        <f>ROUNDUP('HSZ do groszy'!N36,0)</f>
        <v>0</v>
      </c>
      <c r="O36" s="419">
        <f>ROUNDUP('HSZ do groszy'!O36,0)</f>
        <v>0</v>
      </c>
      <c r="P36" s="420">
        <f>ROUNDUP('HSZ do groszy'!P36,0)</f>
        <v>0</v>
      </c>
      <c r="Q36" s="416">
        <f>ROUNDUP('HSZ do groszy'!Q36,0)</f>
        <v>0</v>
      </c>
      <c r="R36" s="417">
        <f>ROUNDUP('HSZ do groszy'!R36,0)</f>
        <v>0</v>
      </c>
      <c r="S36" s="419">
        <f>ROUNDUP('HSZ do groszy'!S36,0)</f>
        <v>0</v>
      </c>
      <c r="T36" s="420">
        <f>ROUNDUP('HSZ do groszy'!T36,0)</f>
        <v>0</v>
      </c>
      <c r="U36" s="416">
        <f>ROUNDUP('HSZ do groszy'!U36,0)</f>
        <v>0</v>
      </c>
      <c r="V36" s="417">
        <f>ROUNDUP('HSZ do groszy'!V36,0)</f>
        <v>0</v>
      </c>
      <c r="W36" s="419">
        <f>ROUNDUP('HSZ do groszy'!W36,0)</f>
        <v>0</v>
      </c>
      <c r="X36" s="420">
        <f>ROUNDUP('HSZ do groszy'!X36,0)</f>
        <v>0</v>
      </c>
      <c r="Y36" s="416">
        <f>ROUNDUP('HSZ do groszy'!Y36,0)</f>
        <v>0</v>
      </c>
      <c r="Z36" s="417">
        <f>ROUNDUP('HSZ do groszy'!Z36,0)</f>
        <v>0</v>
      </c>
      <c r="AA36" s="419">
        <f>ROUNDUP('HSZ do groszy'!AA36,0)</f>
        <v>0</v>
      </c>
      <c r="AB36" s="420">
        <f>ROUNDUP('HSZ do groszy'!AB36,0)</f>
        <v>0</v>
      </c>
      <c r="AC36" s="416">
        <f>ROUNDUP('HSZ do groszy'!AC36,0)</f>
        <v>0</v>
      </c>
      <c r="AD36" s="417">
        <f>ROUNDUP('HSZ do groszy'!AD36,0)</f>
        <v>0</v>
      </c>
      <c r="AE36" s="419">
        <f>ROUNDUP('HSZ do groszy'!AE36,0)</f>
        <v>0</v>
      </c>
      <c r="AF36" s="417">
        <f>ROUNDUP('HSZ do groszy'!AF36,0)</f>
        <v>0</v>
      </c>
      <c r="AG36" s="419">
        <f>ROUNDUP('HSZ do groszy'!AG36,0)</f>
        <v>0</v>
      </c>
      <c r="AH36" s="421">
        <f>ROUNDUP('HSZ do groszy'!AH36,0)</f>
        <v>0</v>
      </c>
      <c r="AI36" s="419">
        <f>ROUNDUP('HSZ do groszy'!AI36,0)</f>
        <v>0</v>
      </c>
      <c r="AJ36" s="421">
        <f>ROUNDUP('HSZ do groszy'!AJ36,0)</f>
        <v>0</v>
      </c>
      <c r="AK36" s="419">
        <f>ROUNDUP('HSZ do groszy'!AK36,0)</f>
        <v>0</v>
      </c>
      <c r="AL36" s="421">
        <f>ROUNDUP('HSZ do groszy'!AL36,0)</f>
        <v>0</v>
      </c>
      <c r="AM36" s="419">
        <f>ROUNDUP('HSZ do groszy'!AM36,0)</f>
        <v>0</v>
      </c>
      <c r="AN36" s="421">
        <f>ROUNDUP('HSZ do groszy'!AN36,0)</f>
        <v>0</v>
      </c>
      <c r="AO36" s="419">
        <f>ROUNDUP('HSZ do groszy'!AO36,0)</f>
        <v>0</v>
      </c>
      <c r="AP36" s="421">
        <f>ROUNDUP('HSZ do groszy'!AP36,0)</f>
        <v>0</v>
      </c>
      <c r="AQ36" s="419">
        <f>ROUNDUP('HSZ do groszy'!AQ36,0)</f>
        <v>0</v>
      </c>
      <c r="AR36" s="421">
        <f>ROUNDUP('HSZ do groszy'!AR36,0)</f>
        <v>0</v>
      </c>
      <c r="AS36" s="192"/>
      <c r="AT36" s="192"/>
      <c r="AU36" s="422" t="str">
        <f t="shared" ref="AU36:AV40" si="73">A36</f>
        <v xml:space="preserve">BOŚ </v>
      </c>
      <c r="AV36" s="423">
        <f t="shared" si="73"/>
        <v>12850000</v>
      </c>
      <c r="AW36" s="424">
        <f>SUM($I36,$K36,$M36,$O36,$Q36,$S36,$U36,$W36,$Y36,$AA36,$AC36,$AE36,$AG36)</f>
        <v>0</v>
      </c>
      <c r="AX36" s="425">
        <f>SUM($J36,$L36,$N36,$P36,$R36,$T36,$V36,$X36,$Z36,$AB36,$AD36,$AF36,$AH36)</f>
        <v>0</v>
      </c>
      <c r="AY36" s="417">
        <f>SUM(AW36,AX36)</f>
        <v>0</v>
      </c>
      <c r="AZ36" s="424">
        <f>SUM($K36,$M36,$O36,$Q36,$S36,$U36,$W36,$Y36,$AA36,$AC36,$AE36,$AG36)</f>
        <v>0</v>
      </c>
      <c r="BA36" s="425">
        <f>SUM($L36,$N36,$P36,$R36,$T36,$V36,$X36,$Z36,$AB36,$AD36,$AF36,$AH36)</f>
        <v>0</v>
      </c>
      <c r="BB36" s="417">
        <f>SUM(AZ36,BA36)</f>
        <v>0</v>
      </c>
      <c r="BC36" s="424">
        <f>SUM($M36,$O36,$Q36,$S36,$U36,$W36,$Y36,$AA36,$AC36,$AE36,$AG36)</f>
        <v>0</v>
      </c>
      <c r="BD36" s="425">
        <f>SUM($N36,$P36,$R36,$T36,$V36,$X36,$Z36,$AB36,$AD36,$AF36,$AH36)</f>
        <v>0</v>
      </c>
      <c r="BE36" s="417">
        <f>SUM(BC36,BD36)</f>
        <v>0</v>
      </c>
      <c r="BF36" s="424">
        <f>SUM($O36,$Q36,$S36,$U36,$W36,$Y36,$AA36,$AC36,$AE36,$AG36)</f>
        <v>0</v>
      </c>
      <c r="BG36" s="425">
        <f>SUM($P36,$R36,$T36,$V36,$X36,$Z36,$AB36,$AD36,$AF36,$AH36)</f>
        <v>0</v>
      </c>
      <c r="BH36" s="417">
        <f>SUM(BF36,BG36)</f>
        <v>0</v>
      </c>
      <c r="BI36" s="424">
        <f>SUM($Q36,$S36,$U36,$W36,$Y36,$AA36,$AC36,$AE36,$AG36)</f>
        <v>0</v>
      </c>
      <c r="BJ36" s="425">
        <f>SUM($R36,$T36,$V36,$X36,$Z36,$AB36,$AD36,$AF36,$AH36)</f>
        <v>0</v>
      </c>
      <c r="BK36" s="417">
        <f>SUM(BI36,BJ36)</f>
        <v>0</v>
      </c>
      <c r="BL36" s="424">
        <f>SUM($S36,$U36,$W36,$Y36,$AA36,$AC36,$AE36,$AG36)</f>
        <v>0</v>
      </c>
      <c r="BM36" s="425">
        <f>SUM($T36,$V36,$X36,$Z36,$AB36,$AD36,$AF36,$AH36)</f>
        <v>0</v>
      </c>
      <c r="BN36" s="417">
        <f>SUM(BL36,BM36)</f>
        <v>0</v>
      </c>
      <c r="BO36" s="424">
        <f>SUM($U36,$W36,$Y36,$AA36,$AC36,$AE36,$AG36)</f>
        <v>0</v>
      </c>
      <c r="BP36" s="425">
        <f>SUM($V36,$X36,$Z36,$AB36,$AD36,$AF36,$AH36)</f>
        <v>0</v>
      </c>
      <c r="BQ36" s="417">
        <f>SUM(BO36,BP36)</f>
        <v>0</v>
      </c>
      <c r="BR36" s="424">
        <f>SUM($W36,$Y36,$AA36,$AC36,$AE36,$AG36)</f>
        <v>0</v>
      </c>
      <c r="BS36" s="425">
        <f>SUM($X36,$Z36,$AB36,$AD36,$AF36,$AH36)</f>
        <v>0</v>
      </c>
      <c r="BT36" s="417">
        <f>SUM(BR36,BS36)</f>
        <v>0</v>
      </c>
      <c r="BU36" s="424">
        <f>SUM($Y36,$AA36,$AC36,$AE36,$AG36)</f>
        <v>0</v>
      </c>
      <c r="BV36" s="425">
        <f>SUM($Z36,$AB36,$AD36,$AF36,$AH36)</f>
        <v>0</v>
      </c>
      <c r="BW36" s="417">
        <f>SUM(BU36,BV36)</f>
        <v>0</v>
      </c>
      <c r="BX36" s="424">
        <f>SUM($AA36,$AC36,$AE36,$AG36)</f>
        <v>0</v>
      </c>
      <c r="BY36" s="425">
        <f>SUM($AB36,$AD36,$AF36,$AH36)</f>
        <v>0</v>
      </c>
      <c r="BZ36" s="417">
        <f>SUM(BX36,BY36)</f>
        <v>0</v>
      </c>
      <c r="CA36" s="424">
        <f>SUM($AC36,$AE36,$AG36)</f>
        <v>0</v>
      </c>
      <c r="CB36" s="425">
        <f>SUM($AD36,$AF36,$AH36)</f>
        <v>0</v>
      </c>
      <c r="CC36" s="417">
        <f>SUM(CA36,CB36)</f>
        <v>0</v>
      </c>
      <c r="CD36" s="424">
        <f>SUM($AE36,$AG36)</f>
        <v>0</v>
      </c>
      <c r="CE36" s="425">
        <f>SUM($AF36,$AH36)</f>
        <v>0</v>
      </c>
      <c r="CF36" s="417">
        <f>SUM(CD36,CE36)</f>
        <v>0</v>
      </c>
      <c r="CG36" s="424">
        <f>SUM($AG36)</f>
        <v>0</v>
      </c>
      <c r="CH36" s="425">
        <f>SUM($AH36)</f>
        <v>0</v>
      </c>
      <c r="CI36" s="417">
        <f>SUM(CG36,CH36)</f>
        <v>0</v>
      </c>
      <c r="CJ36" s="424">
        <f>SUM($AG36)</f>
        <v>0</v>
      </c>
      <c r="CK36" s="425">
        <f>SUM($AH36)</f>
        <v>0</v>
      </c>
      <c r="CL36" s="417">
        <f>SUM(CJ36,CK36)</f>
        <v>0</v>
      </c>
      <c r="CM36" s="424">
        <f>SUM($AG36)</f>
        <v>0</v>
      </c>
      <c r="CN36" s="425">
        <f>SUM($AH36)</f>
        <v>0</v>
      </c>
      <c r="CO36" s="417">
        <f>SUM(CM36,CN36)</f>
        <v>0</v>
      </c>
      <c r="CP36" s="424">
        <f>SUM($AG36)</f>
        <v>0</v>
      </c>
      <c r="CQ36" s="425">
        <f>SUM($AH36)</f>
        <v>0</v>
      </c>
      <c r="CR36" s="417">
        <f>SUM(CP36,CQ36)</f>
        <v>0</v>
      </c>
      <c r="CS36" s="424">
        <f>SUM($AG36)</f>
        <v>0</v>
      </c>
      <c r="CT36" s="425">
        <f>SUM($AH36)</f>
        <v>0</v>
      </c>
      <c r="CU36" s="417">
        <f>SUM(CS36,CT36)</f>
        <v>0</v>
      </c>
      <c r="CV36" s="424">
        <f>SUM($AG36)</f>
        <v>0</v>
      </c>
      <c r="CW36" s="425">
        <f>SUM($AH36)</f>
        <v>0</v>
      </c>
      <c r="CX36" s="417">
        <f>SUM(CV36,CW36)</f>
        <v>0</v>
      </c>
    </row>
    <row r="37" spans="1:102">
      <c r="A37" s="414" t="str">
        <f>'HSZ do groszy'!A37</f>
        <v>BOŚ Bank 2008</v>
      </c>
      <c r="B37" s="415">
        <f>ROUNDUP('HSZ do groszy'!B37,0)</f>
        <v>2000000</v>
      </c>
      <c r="C37" s="416">
        <f>ROUNDUP('HSZ do groszy'!C37,0)</f>
        <v>0</v>
      </c>
      <c r="D37" s="417">
        <f>ROUNDUP('HSZ do groszy'!D37,0)</f>
        <v>73091</v>
      </c>
      <c r="E37" s="582">
        <f t="shared" si="71"/>
        <v>2000000</v>
      </c>
      <c r="F37" s="418">
        <f t="shared" si="72"/>
        <v>196182</v>
      </c>
      <c r="G37" s="416">
        <f>ROUNDUP('HSZ do groszy'!G37,0)</f>
        <v>0</v>
      </c>
      <c r="H37" s="417">
        <f>ROUNDUP('HSZ do groszy'!H37,0)</f>
        <v>73091</v>
      </c>
      <c r="I37" s="416">
        <f>ROUNDUP('HSZ do groszy'!I37,0)</f>
        <v>2000000</v>
      </c>
      <c r="J37" s="417">
        <f>ROUNDUP('HSZ do groszy'!J37,0)</f>
        <v>123091</v>
      </c>
      <c r="K37" s="419">
        <f>ROUNDUP('HSZ do groszy'!K37,0)</f>
        <v>0</v>
      </c>
      <c r="L37" s="420">
        <f>ROUNDUP('HSZ do groszy'!L37,0)</f>
        <v>0</v>
      </c>
      <c r="M37" s="416">
        <f>ROUNDUP('HSZ do groszy'!M37,0)</f>
        <v>0</v>
      </c>
      <c r="N37" s="417">
        <f>ROUNDUP('HSZ do groszy'!N37,0)</f>
        <v>0</v>
      </c>
      <c r="O37" s="419">
        <f>ROUNDUP('HSZ do groszy'!O37,0)</f>
        <v>0</v>
      </c>
      <c r="P37" s="420">
        <f>ROUNDUP('HSZ do groszy'!P37,0)</f>
        <v>0</v>
      </c>
      <c r="Q37" s="416">
        <f>ROUNDUP('HSZ do groszy'!Q37,0)</f>
        <v>0</v>
      </c>
      <c r="R37" s="417">
        <f>ROUNDUP('HSZ do groszy'!R37,0)</f>
        <v>0</v>
      </c>
      <c r="S37" s="419">
        <f>ROUNDUP('HSZ do groszy'!S37,0)</f>
        <v>0</v>
      </c>
      <c r="T37" s="420">
        <f>ROUNDUP('HSZ do groszy'!T37,0)</f>
        <v>0</v>
      </c>
      <c r="U37" s="416">
        <f>ROUNDUP('HSZ do groszy'!U37,0)</f>
        <v>0</v>
      </c>
      <c r="V37" s="417">
        <f>ROUNDUP('HSZ do groszy'!V37,0)</f>
        <v>0</v>
      </c>
      <c r="W37" s="419">
        <f>ROUNDUP('HSZ do groszy'!W37,0)</f>
        <v>0</v>
      </c>
      <c r="X37" s="420">
        <f>ROUNDUP('HSZ do groszy'!X37,0)</f>
        <v>0</v>
      </c>
      <c r="Y37" s="416">
        <f>ROUNDUP('HSZ do groszy'!Y37,0)</f>
        <v>0</v>
      </c>
      <c r="Z37" s="417">
        <f>ROUNDUP('HSZ do groszy'!Z37,0)</f>
        <v>0</v>
      </c>
      <c r="AA37" s="419">
        <f>ROUNDUP('HSZ do groszy'!AA37,0)</f>
        <v>0</v>
      </c>
      <c r="AB37" s="420">
        <f>ROUNDUP('HSZ do groszy'!AB37,0)</f>
        <v>0</v>
      </c>
      <c r="AC37" s="416">
        <f>ROUNDUP('HSZ do groszy'!AC37,0)</f>
        <v>0</v>
      </c>
      <c r="AD37" s="417">
        <f>ROUNDUP('HSZ do groszy'!AD37,0)</f>
        <v>0</v>
      </c>
      <c r="AE37" s="419">
        <f>ROUNDUP('HSZ do groszy'!AE37,0)</f>
        <v>0</v>
      </c>
      <c r="AF37" s="417">
        <f>ROUNDUP('HSZ do groszy'!AF37,0)</f>
        <v>0</v>
      </c>
      <c r="AG37" s="419">
        <f>ROUNDUP('HSZ do groszy'!AG37,0)</f>
        <v>0</v>
      </c>
      <c r="AH37" s="421">
        <f>ROUNDUP('HSZ do groszy'!AH37,0)</f>
        <v>0</v>
      </c>
      <c r="AI37" s="419">
        <f>ROUNDUP('HSZ do groszy'!AI37,0)</f>
        <v>0</v>
      </c>
      <c r="AJ37" s="421">
        <f>ROUNDUP('HSZ do groszy'!AJ37,0)</f>
        <v>0</v>
      </c>
      <c r="AK37" s="419">
        <f>ROUNDUP('HSZ do groszy'!AK37,0)</f>
        <v>0</v>
      </c>
      <c r="AL37" s="421">
        <f>ROUNDUP('HSZ do groszy'!AL37,0)</f>
        <v>0</v>
      </c>
      <c r="AM37" s="419">
        <f>ROUNDUP('HSZ do groszy'!AM37,0)</f>
        <v>0</v>
      </c>
      <c r="AN37" s="421">
        <f>ROUNDUP('HSZ do groszy'!AN37,0)</f>
        <v>0</v>
      </c>
      <c r="AO37" s="419">
        <f>ROUNDUP('HSZ do groszy'!AO37,0)</f>
        <v>0</v>
      </c>
      <c r="AP37" s="421">
        <f>ROUNDUP('HSZ do groszy'!AP37,0)</f>
        <v>0</v>
      </c>
      <c r="AQ37" s="419">
        <f>ROUNDUP('HSZ do groszy'!AQ37,0)</f>
        <v>0</v>
      </c>
      <c r="AR37" s="421">
        <f>ROUNDUP('HSZ do groszy'!AR37,0)</f>
        <v>0</v>
      </c>
      <c r="AS37" s="192"/>
      <c r="AT37" s="192"/>
      <c r="AU37" s="422" t="str">
        <f t="shared" si="73"/>
        <v>BOŚ Bank 2008</v>
      </c>
      <c r="AV37" s="423">
        <f t="shared" si="73"/>
        <v>2000000</v>
      </c>
      <c r="AW37" s="424">
        <f>SUM($I37,$K37,$M37,$O37,$Q37,$S37,$U37,$W37,$Y37,$AA37,$AC37,$AE37,$AG37)</f>
        <v>2000000</v>
      </c>
      <c r="AX37" s="425">
        <f>SUM($J37,$L37,$N37,$P37,$R37,$T37,$V37,$X37,$Z37,$AB37,$AD37,$AF37,$AH37)</f>
        <v>123091</v>
      </c>
      <c r="AY37" s="417">
        <f>SUM(AW37,AX37)</f>
        <v>2123091</v>
      </c>
      <c r="AZ37" s="424">
        <f>SUM($K37,$M37,$O37,$Q37,$S37,$U37,$W37,$Y37,$AA37,$AC37,$AE37,$AG37)</f>
        <v>0</v>
      </c>
      <c r="BA37" s="425">
        <f>SUM($L37,$N37,$P37,$R37,$T37,$V37,$X37,$Z37,$AB37,$AD37,$AF37,$AH37)</f>
        <v>0</v>
      </c>
      <c r="BB37" s="417">
        <f>SUM(AZ37,BA37)</f>
        <v>0</v>
      </c>
      <c r="BC37" s="424">
        <f>SUM($M37,$O37,$Q37,$S37,$U37,$W37,$Y37,$AA37,$AC37,$AE37,$AG37)</f>
        <v>0</v>
      </c>
      <c r="BD37" s="425">
        <f>SUM($N37,$P37,$R37,$T37,$V37,$X37,$Z37,$AB37,$AD37,$AF37,$AH37)</f>
        <v>0</v>
      </c>
      <c r="BE37" s="417">
        <f>SUM(BC37,BD37)</f>
        <v>0</v>
      </c>
      <c r="BF37" s="424">
        <f t="shared" ref="BF37:BF48" si="74">SUM($O37,$Q37,$S37,$U37,$W37,$Y37,$AA37,$AC37,$AE37,$AG37)</f>
        <v>0</v>
      </c>
      <c r="BG37" s="425">
        <f t="shared" ref="BG37:BG48" si="75">SUM($P37,$R37,$T37,$V37,$X37,$Z37,$AB37,$AD37,$AF37,$AH37)</f>
        <v>0</v>
      </c>
      <c r="BH37" s="417">
        <f>SUM(BF37,BG37)</f>
        <v>0</v>
      </c>
      <c r="BI37" s="424">
        <f t="shared" ref="BI37:BI49" si="76">SUM($Q37,$S37,$U37,$W37,$Y37,$AA37,$AC37,$AE37,$AG37)</f>
        <v>0</v>
      </c>
      <c r="BJ37" s="425">
        <f t="shared" ref="BJ37:BJ49" si="77">SUM($R37,$T37,$V37,$X37,$Z37,$AB37,$AD37,$AF37,$AH37)</f>
        <v>0</v>
      </c>
      <c r="BK37" s="417">
        <f>SUM(BI37,BJ37)</f>
        <v>0</v>
      </c>
      <c r="BL37" s="424">
        <f t="shared" ref="BL37:BL50" si="78">SUM($S37,$U37,$W37,$Y37,$AA37,$AC37,$AE37,$AG37)</f>
        <v>0</v>
      </c>
      <c r="BM37" s="425">
        <f t="shared" ref="BM37:BM50" si="79">SUM($T37,$V37,$X37,$Z37,$AB37,$AD37,$AF37,$AH37)</f>
        <v>0</v>
      </c>
      <c r="BN37" s="417">
        <f>SUM(BL37,BM37)</f>
        <v>0</v>
      </c>
      <c r="BO37" s="424">
        <f t="shared" ref="BO37:BO51" si="80">SUM($U37,$W37,$Y37,$AA37,$AC37,$AE37,$AG37)</f>
        <v>0</v>
      </c>
      <c r="BP37" s="425">
        <f t="shared" ref="BP37:BP51" si="81">SUM($V37,$X37,$Z37,$AB37,$AD37,$AF37,$AH37)</f>
        <v>0</v>
      </c>
      <c r="BQ37" s="417">
        <f>SUM(BO37,BP37)</f>
        <v>0</v>
      </c>
      <c r="BR37" s="424">
        <f t="shared" ref="BR37:BR52" si="82">SUM($W37,$Y37,$AA37,$AC37,$AE37,$AG37)</f>
        <v>0</v>
      </c>
      <c r="BS37" s="425">
        <f t="shared" ref="BS37:BS52" si="83">SUM($X37,$Z37,$AB37,$AD37,$AF37,$AH37)</f>
        <v>0</v>
      </c>
      <c r="BT37" s="417">
        <f>SUM(BR37,BS37)</f>
        <v>0</v>
      </c>
      <c r="BU37" s="424">
        <f t="shared" ref="BU37:BU53" si="84">SUM($Y37,$AA37,$AC37,$AE37,$AG37)</f>
        <v>0</v>
      </c>
      <c r="BV37" s="425">
        <f t="shared" ref="BV37:BV53" si="85">SUM($Z37,$AB37,$AD37,$AF37,$AH37)</f>
        <v>0</v>
      </c>
      <c r="BW37" s="417">
        <f>SUM(BU37,BV37)</f>
        <v>0</v>
      </c>
      <c r="BX37" s="424">
        <f t="shared" ref="BX37:BX54" si="86">SUM($AA37,$AC37,$AE37,$AG37)</f>
        <v>0</v>
      </c>
      <c r="BY37" s="425">
        <f t="shared" ref="BY37:BY54" si="87">SUM($AB37,$AD37,$AF37,$AH37)</f>
        <v>0</v>
      </c>
      <c r="BZ37" s="417">
        <f t="shared" ref="BZ37:BZ54" si="88">SUM(BX37,BY37)</f>
        <v>0</v>
      </c>
      <c r="CA37" s="424">
        <f t="shared" ref="CA37:CA57" si="89">SUM($AC37,$AE37,$AG37)</f>
        <v>0</v>
      </c>
      <c r="CB37" s="425">
        <f t="shared" ref="CB37:CB57" si="90">SUM($AD37,$AF37,$AH37)</f>
        <v>0</v>
      </c>
      <c r="CC37" s="417">
        <f t="shared" ref="CC37:CC54" si="91">SUM(CA37,CB37)</f>
        <v>0</v>
      </c>
      <c r="CD37" s="424">
        <f t="shared" ref="CD37:CD57" si="92">SUM($AE37,$AG37)</f>
        <v>0</v>
      </c>
      <c r="CE37" s="425">
        <f t="shared" ref="CE37:CE57" si="93">SUM($AF37,$AH37)</f>
        <v>0</v>
      </c>
      <c r="CF37" s="417">
        <f t="shared" ref="CF37:CF54" si="94">SUM(CD37,CE37)</f>
        <v>0</v>
      </c>
      <c r="CG37" s="424">
        <f t="shared" ref="CG37:CG57" si="95">SUM($AG37)</f>
        <v>0</v>
      </c>
      <c r="CH37" s="425">
        <f t="shared" ref="CH37:CH57" si="96">SUM($AH37)</f>
        <v>0</v>
      </c>
      <c r="CI37" s="417">
        <f t="shared" ref="CI37:CI54" si="97">SUM(CG37,CH37)</f>
        <v>0</v>
      </c>
      <c r="CJ37" s="424">
        <f t="shared" ref="CJ37:CJ57" si="98">SUM($AG37)</f>
        <v>0</v>
      </c>
      <c r="CK37" s="425">
        <f t="shared" ref="CK37:CK57" si="99">SUM($AH37)</f>
        <v>0</v>
      </c>
      <c r="CL37" s="417">
        <f t="shared" ref="CL37:CL40" si="100">SUM(CJ37,CK37)</f>
        <v>0</v>
      </c>
      <c r="CM37" s="424">
        <f t="shared" ref="CM37:CM57" si="101">SUM($AG37)</f>
        <v>0</v>
      </c>
      <c r="CN37" s="425">
        <f t="shared" ref="CN37:CN57" si="102">SUM($AH37)</f>
        <v>0</v>
      </c>
      <c r="CO37" s="417">
        <f t="shared" ref="CO37:CO40" si="103">SUM(CM37,CN37)</f>
        <v>0</v>
      </c>
      <c r="CP37" s="424">
        <f t="shared" ref="CP37:CP57" si="104">SUM($AG37)</f>
        <v>0</v>
      </c>
      <c r="CQ37" s="425">
        <f t="shared" ref="CQ37:CQ57" si="105">SUM($AH37)</f>
        <v>0</v>
      </c>
      <c r="CR37" s="417">
        <f t="shared" ref="CR37:CR40" si="106">SUM(CP37,CQ37)</f>
        <v>0</v>
      </c>
      <c r="CS37" s="424">
        <f t="shared" ref="CS37:CS57" si="107">SUM($AG37)</f>
        <v>0</v>
      </c>
      <c r="CT37" s="425">
        <f t="shared" ref="CT37:CT57" si="108">SUM($AH37)</f>
        <v>0</v>
      </c>
      <c r="CU37" s="417">
        <f t="shared" ref="CU37:CU40" si="109">SUM(CS37,CT37)</f>
        <v>0</v>
      </c>
      <c r="CV37" s="424">
        <f t="shared" ref="CV37:CV57" si="110">SUM($AG37)</f>
        <v>0</v>
      </c>
      <c r="CW37" s="425">
        <f t="shared" ref="CW37:CW57" si="111">SUM($AH37)</f>
        <v>0</v>
      </c>
      <c r="CX37" s="417">
        <f t="shared" ref="CX37:CX40" si="112">SUM(CV37,CW37)</f>
        <v>0</v>
      </c>
    </row>
    <row r="38" spans="1:102">
      <c r="A38" s="426" t="str">
        <f>'HSZ do groszy'!A38</f>
        <v>ING Bank 2009</v>
      </c>
      <c r="B38" s="427">
        <f>ROUNDUP('HSZ do groszy'!B38,0)</f>
        <v>8900000</v>
      </c>
      <c r="C38" s="416">
        <f>ROUNDUP('HSZ do groszy'!C38,0)</f>
        <v>0</v>
      </c>
      <c r="D38" s="417">
        <f>ROUNDUP('HSZ do groszy'!D38,0)</f>
        <v>559244</v>
      </c>
      <c r="E38" s="582">
        <f t="shared" si="71"/>
        <v>8900000</v>
      </c>
      <c r="F38" s="418">
        <f t="shared" si="72"/>
        <v>1447069</v>
      </c>
      <c r="G38" s="416">
        <f>ROUNDUP('HSZ do groszy'!G38,0)</f>
        <v>0</v>
      </c>
      <c r="H38" s="417">
        <f>ROUNDUP('HSZ do groszy'!H38,0)</f>
        <v>559244</v>
      </c>
      <c r="I38" s="416">
        <f>ROUNDUP('HSZ do groszy'!I38,0)</f>
        <v>5000000</v>
      </c>
      <c r="J38" s="417">
        <f>ROUNDUP('HSZ do groszy'!J38,0)</f>
        <v>577825</v>
      </c>
      <c r="K38" s="419">
        <f>ROUNDUP('HSZ do groszy'!K38,0)</f>
        <v>3000000</v>
      </c>
      <c r="L38" s="420">
        <f>ROUNDUP('HSZ do groszy'!L38,0)</f>
        <v>260000</v>
      </c>
      <c r="M38" s="416">
        <f>ROUNDUP('HSZ do groszy'!M38,0)</f>
        <v>900000</v>
      </c>
      <c r="N38" s="417">
        <f>ROUNDUP('HSZ do groszy'!N38,0)</f>
        <v>50000</v>
      </c>
      <c r="O38" s="419">
        <f>ROUNDUP('HSZ do groszy'!O38,0)</f>
        <v>0</v>
      </c>
      <c r="P38" s="420">
        <f>ROUNDUP('HSZ do groszy'!P38,0)</f>
        <v>0</v>
      </c>
      <c r="Q38" s="416">
        <f>ROUNDUP('HSZ do groszy'!Q38,0)</f>
        <v>0</v>
      </c>
      <c r="R38" s="417">
        <f>ROUNDUP('HSZ do groszy'!R38,0)</f>
        <v>0</v>
      </c>
      <c r="S38" s="419">
        <f>ROUNDUP('HSZ do groszy'!S38,0)</f>
        <v>0</v>
      </c>
      <c r="T38" s="420">
        <f>ROUNDUP('HSZ do groszy'!T38,0)</f>
        <v>0</v>
      </c>
      <c r="U38" s="416">
        <f>ROUNDUP('HSZ do groszy'!U38,0)</f>
        <v>0</v>
      </c>
      <c r="V38" s="417">
        <f>ROUNDUP('HSZ do groszy'!V38,0)</f>
        <v>0</v>
      </c>
      <c r="W38" s="419">
        <f>ROUNDUP('HSZ do groszy'!W38,0)</f>
        <v>0</v>
      </c>
      <c r="X38" s="420">
        <f>ROUNDUP('HSZ do groszy'!X38,0)</f>
        <v>0</v>
      </c>
      <c r="Y38" s="416">
        <f>ROUNDUP('HSZ do groszy'!Y38,0)</f>
        <v>0</v>
      </c>
      <c r="Z38" s="417">
        <f>ROUNDUP('HSZ do groszy'!Z38,0)</f>
        <v>0</v>
      </c>
      <c r="AA38" s="419">
        <f>ROUNDUP('HSZ do groszy'!AA38,0)</f>
        <v>0</v>
      </c>
      <c r="AB38" s="420">
        <f>ROUNDUP('HSZ do groszy'!AB38,0)</f>
        <v>0</v>
      </c>
      <c r="AC38" s="416">
        <f>ROUNDUP('HSZ do groszy'!AC38,0)</f>
        <v>0</v>
      </c>
      <c r="AD38" s="417">
        <f>ROUNDUP('HSZ do groszy'!AD38,0)</f>
        <v>0</v>
      </c>
      <c r="AE38" s="419">
        <f>ROUNDUP('HSZ do groszy'!AE38,0)</f>
        <v>0</v>
      </c>
      <c r="AF38" s="417">
        <f>ROUNDUP('HSZ do groszy'!AF38,0)</f>
        <v>0</v>
      </c>
      <c r="AG38" s="419">
        <f>ROUNDUP('HSZ do groszy'!AG38,0)</f>
        <v>0</v>
      </c>
      <c r="AH38" s="421">
        <f>ROUNDUP('HSZ do groszy'!AH38,0)</f>
        <v>0</v>
      </c>
      <c r="AI38" s="419">
        <f>ROUNDUP('HSZ do groszy'!AI38,0)</f>
        <v>0</v>
      </c>
      <c r="AJ38" s="421">
        <f>ROUNDUP('HSZ do groszy'!AJ38,0)</f>
        <v>0</v>
      </c>
      <c r="AK38" s="419">
        <f>ROUNDUP('HSZ do groszy'!AK38,0)</f>
        <v>0</v>
      </c>
      <c r="AL38" s="421">
        <f>ROUNDUP('HSZ do groszy'!AL38,0)</f>
        <v>0</v>
      </c>
      <c r="AM38" s="419">
        <f>ROUNDUP('HSZ do groszy'!AM38,0)</f>
        <v>0</v>
      </c>
      <c r="AN38" s="421">
        <f>ROUNDUP('HSZ do groszy'!AN38,0)</f>
        <v>0</v>
      </c>
      <c r="AO38" s="419">
        <f>ROUNDUP('HSZ do groszy'!AO38,0)</f>
        <v>0</v>
      </c>
      <c r="AP38" s="421">
        <f>ROUNDUP('HSZ do groszy'!AP38,0)</f>
        <v>0</v>
      </c>
      <c r="AQ38" s="419">
        <f>ROUNDUP('HSZ do groszy'!AQ38,0)</f>
        <v>0</v>
      </c>
      <c r="AR38" s="421">
        <f>ROUNDUP('HSZ do groszy'!AR38,0)</f>
        <v>0</v>
      </c>
      <c r="AS38" s="192"/>
      <c r="AT38" s="192"/>
      <c r="AU38" s="422" t="str">
        <f t="shared" si="73"/>
        <v>ING Bank 2009</v>
      </c>
      <c r="AV38" s="423">
        <f t="shared" si="73"/>
        <v>8900000</v>
      </c>
      <c r="AW38" s="424">
        <f>SUM($I38,$K38,$M38,$O38,$Q38,$S38,$U38,$W38,$Y38,$AA38,$AC38,$AE38,$AG38)</f>
        <v>8900000</v>
      </c>
      <c r="AX38" s="425">
        <f>SUM($J38,$L38,$N38,$P38,$R38,$T38,$V38,$X38,$Z38,$AB38,$AD38,$AF38,$AH38)</f>
        <v>887825</v>
      </c>
      <c r="AY38" s="417">
        <f>SUM(AW38,AX38)</f>
        <v>9787825</v>
      </c>
      <c r="AZ38" s="424">
        <f>SUM($K38,$M38,$O38,$Q38,$S38,$U38,$W38,$Y38,$AA38,$AC38,$AE38,$AG38)</f>
        <v>3900000</v>
      </c>
      <c r="BA38" s="425">
        <f>SUM($L38,$N38,$P38,$R38,$T38,$V38,$X38,$Z38,$AB38,$AD38,$AF38,$AH38)</f>
        <v>310000</v>
      </c>
      <c r="BB38" s="417">
        <f>SUM(AZ38,BA38)</f>
        <v>4210000</v>
      </c>
      <c r="BC38" s="424">
        <f>SUM($M38,$O38,$Q38,$S38,$U38,$W38,$Y38,$AA38,$AC38,$AE38,$AG38)</f>
        <v>900000</v>
      </c>
      <c r="BD38" s="425">
        <f>SUM($N38,$P38,$R38,$T38,$V38,$X38,$Z38,$AB38,$AD38,$AF38,$AH38)</f>
        <v>50000</v>
      </c>
      <c r="BE38" s="417">
        <f>SUM(BC38,BD38)</f>
        <v>950000</v>
      </c>
      <c r="BF38" s="424">
        <f t="shared" si="74"/>
        <v>0</v>
      </c>
      <c r="BG38" s="425">
        <f t="shared" si="75"/>
        <v>0</v>
      </c>
      <c r="BH38" s="417">
        <f>SUM(BF38,BG38)</f>
        <v>0</v>
      </c>
      <c r="BI38" s="424">
        <f t="shared" si="76"/>
        <v>0</v>
      </c>
      <c r="BJ38" s="425">
        <f t="shared" si="77"/>
        <v>0</v>
      </c>
      <c r="BK38" s="417">
        <f>SUM(BI38,BJ38)</f>
        <v>0</v>
      </c>
      <c r="BL38" s="424">
        <f t="shared" si="78"/>
        <v>0</v>
      </c>
      <c r="BM38" s="425">
        <f t="shared" si="79"/>
        <v>0</v>
      </c>
      <c r="BN38" s="417">
        <f>SUM(BL38,BM38)</f>
        <v>0</v>
      </c>
      <c r="BO38" s="424">
        <f t="shared" si="80"/>
        <v>0</v>
      </c>
      <c r="BP38" s="425">
        <f t="shared" si="81"/>
        <v>0</v>
      </c>
      <c r="BQ38" s="417">
        <f>SUM(BO38,BP38)</f>
        <v>0</v>
      </c>
      <c r="BR38" s="424">
        <f t="shared" si="82"/>
        <v>0</v>
      </c>
      <c r="BS38" s="425">
        <f t="shared" si="83"/>
        <v>0</v>
      </c>
      <c r="BT38" s="417">
        <f>SUM(BR38,BS38)</f>
        <v>0</v>
      </c>
      <c r="BU38" s="424">
        <f t="shared" si="84"/>
        <v>0</v>
      </c>
      <c r="BV38" s="425">
        <f t="shared" si="85"/>
        <v>0</v>
      </c>
      <c r="BW38" s="417">
        <f>SUM(BU38,BV38)</f>
        <v>0</v>
      </c>
      <c r="BX38" s="424">
        <f t="shared" si="86"/>
        <v>0</v>
      </c>
      <c r="BY38" s="425">
        <f t="shared" si="87"/>
        <v>0</v>
      </c>
      <c r="BZ38" s="417">
        <f t="shared" si="88"/>
        <v>0</v>
      </c>
      <c r="CA38" s="424">
        <f t="shared" si="89"/>
        <v>0</v>
      </c>
      <c r="CB38" s="425">
        <f t="shared" si="90"/>
        <v>0</v>
      </c>
      <c r="CC38" s="417">
        <f t="shared" si="91"/>
        <v>0</v>
      </c>
      <c r="CD38" s="424">
        <f t="shared" si="92"/>
        <v>0</v>
      </c>
      <c r="CE38" s="425">
        <f t="shared" si="93"/>
        <v>0</v>
      </c>
      <c r="CF38" s="417">
        <f t="shared" si="94"/>
        <v>0</v>
      </c>
      <c r="CG38" s="424">
        <f t="shared" si="95"/>
        <v>0</v>
      </c>
      <c r="CH38" s="425">
        <f t="shared" si="96"/>
        <v>0</v>
      </c>
      <c r="CI38" s="417">
        <f t="shared" si="97"/>
        <v>0</v>
      </c>
      <c r="CJ38" s="424">
        <f t="shared" si="98"/>
        <v>0</v>
      </c>
      <c r="CK38" s="425">
        <f t="shared" si="99"/>
        <v>0</v>
      </c>
      <c r="CL38" s="417">
        <f t="shared" si="100"/>
        <v>0</v>
      </c>
      <c r="CM38" s="424">
        <f t="shared" si="101"/>
        <v>0</v>
      </c>
      <c r="CN38" s="425">
        <f t="shared" si="102"/>
        <v>0</v>
      </c>
      <c r="CO38" s="417">
        <f t="shared" si="103"/>
        <v>0</v>
      </c>
      <c r="CP38" s="424">
        <f t="shared" si="104"/>
        <v>0</v>
      </c>
      <c r="CQ38" s="425">
        <f t="shared" si="105"/>
        <v>0</v>
      </c>
      <c r="CR38" s="417">
        <f t="shared" si="106"/>
        <v>0</v>
      </c>
      <c r="CS38" s="424">
        <f t="shared" si="107"/>
        <v>0</v>
      </c>
      <c r="CT38" s="425">
        <f t="shared" si="108"/>
        <v>0</v>
      </c>
      <c r="CU38" s="417">
        <f t="shared" si="109"/>
        <v>0</v>
      </c>
      <c r="CV38" s="424">
        <f t="shared" si="110"/>
        <v>0</v>
      </c>
      <c r="CW38" s="425">
        <f t="shared" si="111"/>
        <v>0</v>
      </c>
      <c r="CX38" s="417">
        <f t="shared" si="112"/>
        <v>0</v>
      </c>
    </row>
    <row r="39" spans="1:102">
      <c r="A39" s="428" t="str">
        <f>'HSZ do groszy'!A39</f>
        <v>Nordea Bank 2010</v>
      </c>
      <c r="B39" s="429">
        <f>ROUNDUP('HSZ do groszy'!B39,0)</f>
        <v>16000000</v>
      </c>
      <c r="C39" s="416">
        <f>ROUNDUP('HSZ do groszy'!C39,0)</f>
        <v>0</v>
      </c>
      <c r="D39" s="417">
        <f>ROUNDUP('HSZ do groszy'!D39,0)</f>
        <v>818619</v>
      </c>
      <c r="E39" s="582">
        <f t="shared" si="71"/>
        <v>16000000</v>
      </c>
      <c r="F39" s="418">
        <f t="shared" si="72"/>
        <v>3866207</v>
      </c>
      <c r="G39" s="416">
        <f>ROUNDUP('HSZ do groszy'!G39,0)</f>
        <v>0</v>
      </c>
      <c r="H39" s="417">
        <f>ROUNDUP('HSZ do groszy'!H39,0)</f>
        <v>818619</v>
      </c>
      <c r="I39" s="416">
        <f>ROUNDUP('HSZ do groszy'!I39,0)</f>
        <v>2000000</v>
      </c>
      <c r="J39" s="417">
        <f>ROUNDUP('HSZ do groszy'!J39,0)</f>
        <v>818619</v>
      </c>
      <c r="K39" s="419">
        <f>ROUNDUP('HSZ do groszy'!K39,0)</f>
        <v>0</v>
      </c>
      <c r="L39" s="420">
        <f>ROUNDUP('HSZ do groszy'!L39,0)</f>
        <v>640000</v>
      </c>
      <c r="M39" s="416">
        <f>ROUNDUP('HSZ do groszy'!M39,0)</f>
        <v>3000000</v>
      </c>
      <c r="N39" s="417">
        <f>ROUNDUP('HSZ do groszy'!N39,0)</f>
        <v>700000</v>
      </c>
      <c r="O39" s="419">
        <f>ROUNDUP('HSZ do groszy'!O39,0)</f>
        <v>5500000</v>
      </c>
      <c r="P39" s="420">
        <f>ROUNDUP('HSZ do groszy'!P39,0)</f>
        <v>562800</v>
      </c>
      <c r="Q39" s="416">
        <f>ROUNDUP('HSZ do groszy'!Q39,0)</f>
        <v>5500000</v>
      </c>
      <c r="R39" s="417">
        <f>ROUNDUP('HSZ do groszy'!R39,0)</f>
        <v>326169</v>
      </c>
      <c r="S39" s="419">
        <f>ROUNDUP('HSZ do groszy'!S39,0)</f>
        <v>0</v>
      </c>
      <c r="T39" s="420">
        <f>ROUNDUP('HSZ do groszy'!T39,0)</f>
        <v>0</v>
      </c>
      <c r="U39" s="416">
        <f>ROUNDUP('HSZ do groszy'!U39,0)</f>
        <v>0</v>
      </c>
      <c r="V39" s="417">
        <f>ROUNDUP('HSZ do groszy'!V39,0)</f>
        <v>0</v>
      </c>
      <c r="W39" s="419">
        <f>ROUNDUP('HSZ do groszy'!W39,0)</f>
        <v>0</v>
      </c>
      <c r="X39" s="420">
        <f>ROUNDUP('HSZ do groszy'!X39,0)</f>
        <v>0</v>
      </c>
      <c r="Y39" s="416">
        <f>ROUNDUP('HSZ do groszy'!Y39,0)</f>
        <v>0</v>
      </c>
      <c r="Z39" s="417">
        <f>ROUNDUP('HSZ do groszy'!Z39,0)</f>
        <v>0</v>
      </c>
      <c r="AA39" s="419">
        <f>ROUNDUP('HSZ do groszy'!AA39,0)</f>
        <v>0</v>
      </c>
      <c r="AB39" s="420">
        <f>ROUNDUP('HSZ do groszy'!AB39,0)</f>
        <v>0</v>
      </c>
      <c r="AC39" s="416">
        <f>ROUNDUP('HSZ do groszy'!AC39,0)</f>
        <v>0</v>
      </c>
      <c r="AD39" s="417">
        <f>ROUNDUP('HSZ do groszy'!AD39,0)</f>
        <v>0</v>
      </c>
      <c r="AE39" s="419">
        <f>ROUNDUP('HSZ do groszy'!AE39,0)</f>
        <v>0</v>
      </c>
      <c r="AF39" s="417">
        <f>ROUNDUP('HSZ do groszy'!AF39,0)</f>
        <v>0</v>
      </c>
      <c r="AG39" s="419">
        <f>ROUNDUP('HSZ do groszy'!AG39,0)</f>
        <v>0</v>
      </c>
      <c r="AH39" s="421">
        <f>ROUNDUP('HSZ do groszy'!AH39,0)</f>
        <v>0</v>
      </c>
      <c r="AI39" s="419">
        <f>ROUNDUP('HSZ do groszy'!AI39,0)</f>
        <v>0</v>
      </c>
      <c r="AJ39" s="421">
        <f>ROUNDUP('HSZ do groszy'!AJ39,0)</f>
        <v>0</v>
      </c>
      <c r="AK39" s="419">
        <f>ROUNDUP('HSZ do groszy'!AK39,0)</f>
        <v>0</v>
      </c>
      <c r="AL39" s="421">
        <f>ROUNDUP('HSZ do groszy'!AL39,0)</f>
        <v>0</v>
      </c>
      <c r="AM39" s="419">
        <f>ROUNDUP('HSZ do groszy'!AM39,0)</f>
        <v>0</v>
      </c>
      <c r="AN39" s="421">
        <f>ROUNDUP('HSZ do groszy'!AN39,0)</f>
        <v>0</v>
      </c>
      <c r="AO39" s="419">
        <f>ROUNDUP('HSZ do groszy'!AO39,0)</f>
        <v>0</v>
      </c>
      <c r="AP39" s="421">
        <f>ROUNDUP('HSZ do groszy'!AP39,0)</f>
        <v>0</v>
      </c>
      <c r="AQ39" s="419">
        <f>ROUNDUP('HSZ do groszy'!AQ39,0)</f>
        <v>0</v>
      </c>
      <c r="AR39" s="421">
        <f>ROUNDUP('HSZ do groszy'!AR39,0)</f>
        <v>0</v>
      </c>
      <c r="AS39" s="192"/>
      <c r="AT39" s="192"/>
      <c r="AU39" s="422" t="str">
        <f t="shared" si="73"/>
        <v>Nordea Bank 2010</v>
      </c>
      <c r="AV39" s="423">
        <f t="shared" si="73"/>
        <v>16000000</v>
      </c>
      <c r="AW39" s="424">
        <f>SUM($I39,$K39,$M39,$O39,$Q39,$S39,$U39,$W39,$Y39,$AA39,$AC39,$AE39,$AG39)</f>
        <v>16000000</v>
      </c>
      <c r="AX39" s="425">
        <f>SUM($J39,$L39,$N39,$P39,$R39,$T39,$V39,$X39,$Z39,$AB39,$AD39,$AF39,$AH39)</f>
        <v>3047588</v>
      </c>
      <c r="AY39" s="417">
        <f>SUM(AW39,AX39)</f>
        <v>19047588</v>
      </c>
      <c r="AZ39" s="424">
        <f>SUM($K39,$M39,$O39,$Q39,$S39,$U39,$W39,$Y39,$AA39,$AC39,$AE39,$AG39)</f>
        <v>14000000</v>
      </c>
      <c r="BA39" s="425">
        <f>SUM($L39,$N39,$P39,$R39,$T39,$V39,$X39,$Z39,$AB39,$AD39,$AF39,$AH39)</f>
        <v>2228969</v>
      </c>
      <c r="BB39" s="417">
        <f>SUM(AZ39,BA39)</f>
        <v>16228969</v>
      </c>
      <c r="BC39" s="424">
        <f>SUM($M39,$O39,$Q39,$S39,$U39,$W39,$Y39,$AA39,$AC39,$AE39,$AG39)</f>
        <v>14000000</v>
      </c>
      <c r="BD39" s="425">
        <f>SUM($N39,$P39,$R39,$T39,$V39,$X39,$Z39,$AB39,$AD39,$AF39,$AH39)</f>
        <v>1588969</v>
      </c>
      <c r="BE39" s="417">
        <f>SUM(BC39,BD39)</f>
        <v>15588969</v>
      </c>
      <c r="BF39" s="424">
        <f t="shared" si="74"/>
        <v>11000000</v>
      </c>
      <c r="BG39" s="425">
        <f t="shared" si="75"/>
        <v>888969</v>
      </c>
      <c r="BH39" s="417">
        <f>SUM(BF39,BG39)</f>
        <v>11888969</v>
      </c>
      <c r="BI39" s="424">
        <f t="shared" si="76"/>
        <v>5500000</v>
      </c>
      <c r="BJ39" s="425">
        <f t="shared" si="77"/>
        <v>326169</v>
      </c>
      <c r="BK39" s="417">
        <f>SUM(BI39,BJ39)</f>
        <v>5826169</v>
      </c>
      <c r="BL39" s="424">
        <f t="shared" si="78"/>
        <v>0</v>
      </c>
      <c r="BM39" s="425">
        <f t="shared" si="79"/>
        <v>0</v>
      </c>
      <c r="BN39" s="417">
        <f>SUM(BL39,BM39)</f>
        <v>0</v>
      </c>
      <c r="BO39" s="424">
        <f t="shared" si="80"/>
        <v>0</v>
      </c>
      <c r="BP39" s="425">
        <f t="shared" si="81"/>
        <v>0</v>
      </c>
      <c r="BQ39" s="417">
        <f>SUM(BO39,BP39)</f>
        <v>0</v>
      </c>
      <c r="BR39" s="424">
        <f t="shared" si="82"/>
        <v>0</v>
      </c>
      <c r="BS39" s="425">
        <f t="shared" si="83"/>
        <v>0</v>
      </c>
      <c r="BT39" s="417">
        <f>SUM(BR39,BS39)</f>
        <v>0</v>
      </c>
      <c r="BU39" s="424">
        <f t="shared" si="84"/>
        <v>0</v>
      </c>
      <c r="BV39" s="425">
        <f t="shared" si="85"/>
        <v>0</v>
      </c>
      <c r="BW39" s="417">
        <f>SUM(BU39,BV39)</f>
        <v>0</v>
      </c>
      <c r="BX39" s="424">
        <f t="shared" si="86"/>
        <v>0</v>
      </c>
      <c r="BY39" s="425">
        <f t="shared" si="87"/>
        <v>0</v>
      </c>
      <c r="BZ39" s="417">
        <f t="shared" si="88"/>
        <v>0</v>
      </c>
      <c r="CA39" s="424">
        <f t="shared" si="89"/>
        <v>0</v>
      </c>
      <c r="CB39" s="425">
        <f t="shared" si="90"/>
        <v>0</v>
      </c>
      <c r="CC39" s="417">
        <f t="shared" si="91"/>
        <v>0</v>
      </c>
      <c r="CD39" s="424">
        <f t="shared" si="92"/>
        <v>0</v>
      </c>
      <c r="CE39" s="425">
        <f t="shared" si="93"/>
        <v>0</v>
      </c>
      <c r="CF39" s="417">
        <f t="shared" si="94"/>
        <v>0</v>
      </c>
      <c r="CG39" s="424">
        <f t="shared" si="95"/>
        <v>0</v>
      </c>
      <c r="CH39" s="425">
        <f t="shared" si="96"/>
        <v>0</v>
      </c>
      <c r="CI39" s="417">
        <f t="shared" si="97"/>
        <v>0</v>
      </c>
      <c r="CJ39" s="424">
        <f t="shared" si="98"/>
        <v>0</v>
      </c>
      <c r="CK39" s="425">
        <f t="shared" si="99"/>
        <v>0</v>
      </c>
      <c r="CL39" s="417">
        <f t="shared" si="100"/>
        <v>0</v>
      </c>
      <c r="CM39" s="424">
        <f t="shared" si="101"/>
        <v>0</v>
      </c>
      <c r="CN39" s="425">
        <f t="shared" si="102"/>
        <v>0</v>
      </c>
      <c r="CO39" s="417">
        <f t="shared" si="103"/>
        <v>0</v>
      </c>
      <c r="CP39" s="424">
        <f t="shared" si="104"/>
        <v>0</v>
      </c>
      <c r="CQ39" s="425">
        <f t="shared" si="105"/>
        <v>0</v>
      </c>
      <c r="CR39" s="417">
        <f t="shared" si="106"/>
        <v>0</v>
      </c>
      <c r="CS39" s="424">
        <f t="shared" si="107"/>
        <v>0</v>
      </c>
      <c r="CT39" s="425">
        <f t="shared" si="108"/>
        <v>0</v>
      </c>
      <c r="CU39" s="417">
        <f t="shared" si="109"/>
        <v>0</v>
      </c>
      <c r="CV39" s="424">
        <f t="shared" si="110"/>
        <v>0</v>
      </c>
      <c r="CW39" s="425">
        <f t="shared" si="111"/>
        <v>0</v>
      </c>
      <c r="CX39" s="417">
        <f t="shared" si="112"/>
        <v>0</v>
      </c>
    </row>
    <row r="40" spans="1:102">
      <c r="A40" s="430" t="str">
        <f>'HSZ do groszy'!A40</f>
        <v>Nordea Bank 2011</v>
      </c>
      <c r="B40" s="429">
        <f>ROUNDUP('HSZ do groszy'!B40,0)</f>
        <v>10000000</v>
      </c>
      <c r="C40" s="416">
        <f>ROUNDUP('HSZ do groszy'!C40,0)</f>
        <v>0</v>
      </c>
      <c r="D40" s="417">
        <f>ROUNDUP('HSZ do groszy'!D40,0)</f>
        <v>0</v>
      </c>
      <c r="E40" s="582">
        <f t="shared" si="71"/>
        <v>10000000</v>
      </c>
      <c r="F40" s="418">
        <f t="shared" si="72"/>
        <v>3453271</v>
      </c>
      <c r="G40" s="416">
        <f>ROUNDUP('HSZ do groszy'!G40,0)</f>
        <v>0</v>
      </c>
      <c r="H40" s="417">
        <f>ROUNDUP('HSZ do groszy'!H40,0)</f>
        <v>511637</v>
      </c>
      <c r="I40" s="416">
        <f>ROUNDUP('HSZ do groszy'!I40,0)</f>
        <v>500000</v>
      </c>
      <c r="J40" s="417">
        <f>ROUNDUP('HSZ do groszy'!J40,0)</f>
        <v>602696</v>
      </c>
      <c r="K40" s="419">
        <f>ROUNDUP('HSZ do groszy'!K40,0)</f>
        <v>500000</v>
      </c>
      <c r="L40" s="420">
        <f>ROUNDUP('HSZ do groszy'!L40,0)</f>
        <v>400000</v>
      </c>
      <c r="M40" s="416">
        <f>ROUNDUP('HSZ do groszy'!M40,0)</f>
        <v>0</v>
      </c>
      <c r="N40" s="417">
        <f>ROUNDUP('HSZ do groszy'!N40,0)</f>
        <v>450000</v>
      </c>
      <c r="O40" s="419">
        <f>ROUNDUP('HSZ do groszy'!O40,0)</f>
        <v>500000</v>
      </c>
      <c r="P40" s="420">
        <f>ROUNDUP('HSZ do groszy'!P40,0)</f>
        <v>460473</v>
      </c>
      <c r="Q40" s="416">
        <f>ROUNDUP('HSZ do groszy'!Q40,0)</f>
        <v>500000</v>
      </c>
      <c r="R40" s="417">
        <f>ROUNDUP('HSZ do groszy'!R40,0)</f>
        <v>439155</v>
      </c>
      <c r="S40" s="419">
        <f>ROUNDUP('HSZ do groszy'!S40,0)</f>
        <v>4000000</v>
      </c>
      <c r="T40" s="420">
        <f>ROUNDUP('HSZ do groszy'!T40,0)</f>
        <v>409310</v>
      </c>
      <c r="U40" s="416">
        <f>ROUNDUP('HSZ do groszy'!U40,0)</f>
        <v>4000000</v>
      </c>
      <c r="V40" s="417">
        <f>ROUNDUP('HSZ do groszy'!V40,0)</f>
        <v>180000</v>
      </c>
      <c r="W40" s="419">
        <f>ROUNDUP('HSZ do groszy'!W40,0)</f>
        <v>0</v>
      </c>
      <c r="X40" s="420">
        <f>ROUNDUP('HSZ do groszy'!X40,0)</f>
        <v>0</v>
      </c>
      <c r="Y40" s="416">
        <f>ROUNDUP('HSZ do groszy'!Y40,0)</f>
        <v>0</v>
      </c>
      <c r="Z40" s="417">
        <f>ROUNDUP('HSZ do groszy'!Z40,0)</f>
        <v>0</v>
      </c>
      <c r="AA40" s="419">
        <f>ROUNDUP('HSZ do groszy'!AA40,0)</f>
        <v>0</v>
      </c>
      <c r="AB40" s="420">
        <f>ROUNDUP('HSZ do groszy'!AB40,0)</f>
        <v>0</v>
      </c>
      <c r="AC40" s="416">
        <f>ROUNDUP('HSZ do groszy'!AC40,0)</f>
        <v>0</v>
      </c>
      <c r="AD40" s="417">
        <f>ROUNDUP('HSZ do groszy'!AD40,0)</f>
        <v>0</v>
      </c>
      <c r="AE40" s="419">
        <f>ROUNDUP('HSZ do groszy'!AE40,0)</f>
        <v>0</v>
      </c>
      <c r="AF40" s="417">
        <f>ROUNDUP('HSZ do groszy'!AF40,0)</f>
        <v>0</v>
      </c>
      <c r="AG40" s="419">
        <f>ROUNDUP('HSZ do groszy'!AG40,0)</f>
        <v>0</v>
      </c>
      <c r="AH40" s="421">
        <f>ROUNDUP('HSZ do groszy'!AH40,0)</f>
        <v>0</v>
      </c>
      <c r="AI40" s="419">
        <f>ROUNDUP('HSZ do groszy'!AI40,0)</f>
        <v>0</v>
      </c>
      <c r="AJ40" s="421">
        <f>ROUNDUP('HSZ do groszy'!AJ40,0)</f>
        <v>0</v>
      </c>
      <c r="AK40" s="419">
        <f>ROUNDUP('HSZ do groszy'!AK40,0)</f>
        <v>0</v>
      </c>
      <c r="AL40" s="421">
        <f>ROUNDUP('HSZ do groszy'!AL40,0)</f>
        <v>0</v>
      </c>
      <c r="AM40" s="419">
        <f>ROUNDUP('HSZ do groszy'!AM40,0)</f>
        <v>0</v>
      </c>
      <c r="AN40" s="421">
        <f>ROUNDUP('HSZ do groszy'!AN40,0)</f>
        <v>0</v>
      </c>
      <c r="AO40" s="419">
        <f>ROUNDUP('HSZ do groszy'!AO40,0)</f>
        <v>0</v>
      </c>
      <c r="AP40" s="421">
        <f>ROUNDUP('HSZ do groszy'!AP40,0)</f>
        <v>0</v>
      </c>
      <c r="AQ40" s="419">
        <f>ROUNDUP('HSZ do groszy'!AQ40,0)</f>
        <v>0</v>
      </c>
      <c r="AR40" s="421">
        <f>ROUNDUP('HSZ do groszy'!AR40,0)</f>
        <v>0</v>
      </c>
      <c r="AS40" s="192"/>
      <c r="AT40" s="192"/>
      <c r="AU40" s="422" t="str">
        <f t="shared" si="73"/>
        <v>Nordea Bank 2011</v>
      </c>
      <c r="AV40" s="423">
        <f t="shared" si="73"/>
        <v>10000000</v>
      </c>
      <c r="AW40" s="424">
        <f>SUM($I40,$K40,$M40,$O40,$Q40,$S40,$U40,$W40,$Y40,$AA40,$AC40,$AE40,$AG40)</f>
        <v>10000000</v>
      </c>
      <c r="AX40" s="425">
        <f>SUM($J40,$L40,$N40,$P40,$R40,$T40,$V40,$X40,$Z40,$AB40,$AD40,$AF40,$AH40)</f>
        <v>2941634</v>
      </c>
      <c r="AY40" s="417">
        <f>SUM(AW40,AX40)</f>
        <v>12941634</v>
      </c>
      <c r="AZ40" s="424">
        <f>SUM($K40,$M40,$O40,$Q40,$S40,$U40,$W40,$Y40,$AA40,$AC40,$AE40,$AG40)</f>
        <v>9500000</v>
      </c>
      <c r="BA40" s="425">
        <f>SUM($L40,$N40,$P40,$R40,$T40,$V40,$X40,$Z40,$AB40,$AD40,$AF40,$AH40)</f>
        <v>2338938</v>
      </c>
      <c r="BB40" s="417">
        <f>SUM(AZ40,BA40)</f>
        <v>11838938</v>
      </c>
      <c r="BC40" s="424">
        <f>SUM($M40,$O40,$Q40,$S40,$U40,$W40,$Y40,$AA40,$AC40,$AE40,$AG40)</f>
        <v>9000000</v>
      </c>
      <c r="BD40" s="425">
        <f>SUM($N40,$P40,$R40,$T40,$V40,$X40,$Z40,$AB40,$AD40,$AF40,$AH40)</f>
        <v>1938938</v>
      </c>
      <c r="BE40" s="417">
        <f>SUM(BC40,BD40)</f>
        <v>10938938</v>
      </c>
      <c r="BF40" s="424">
        <f t="shared" si="74"/>
        <v>9000000</v>
      </c>
      <c r="BG40" s="425">
        <f t="shared" si="75"/>
        <v>1488938</v>
      </c>
      <c r="BH40" s="417">
        <f>SUM(BF40,BG40)</f>
        <v>10488938</v>
      </c>
      <c r="BI40" s="424">
        <f t="shared" si="76"/>
        <v>8500000</v>
      </c>
      <c r="BJ40" s="425">
        <f t="shared" si="77"/>
        <v>1028465</v>
      </c>
      <c r="BK40" s="417">
        <f>SUM(BI40,BJ40)</f>
        <v>9528465</v>
      </c>
      <c r="BL40" s="424">
        <f t="shared" si="78"/>
        <v>8000000</v>
      </c>
      <c r="BM40" s="425">
        <f t="shared" si="79"/>
        <v>589310</v>
      </c>
      <c r="BN40" s="417">
        <f>SUM(BL40,BM40)</f>
        <v>8589310</v>
      </c>
      <c r="BO40" s="424">
        <f t="shared" si="80"/>
        <v>4000000</v>
      </c>
      <c r="BP40" s="425">
        <f t="shared" si="81"/>
        <v>180000</v>
      </c>
      <c r="BQ40" s="417">
        <f>SUM(BO40,BP40)</f>
        <v>4180000</v>
      </c>
      <c r="BR40" s="424">
        <f t="shared" si="82"/>
        <v>0</v>
      </c>
      <c r="BS40" s="425">
        <f t="shared" si="83"/>
        <v>0</v>
      </c>
      <c r="BT40" s="417">
        <f>SUM(BR40,BS40)</f>
        <v>0</v>
      </c>
      <c r="BU40" s="424">
        <f t="shared" si="84"/>
        <v>0</v>
      </c>
      <c r="BV40" s="425">
        <f t="shared" si="85"/>
        <v>0</v>
      </c>
      <c r="BW40" s="417">
        <f>SUM(BU40,BV40)</f>
        <v>0</v>
      </c>
      <c r="BX40" s="424">
        <f t="shared" si="86"/>
        <v>0</v>
      </c>
      <c r="BY40" s="425">
        <f t="shared" si="87"/>
        <v>0</v>
      </c>
      <c r="BZ40" s="417">
        <f t="shared" si="88"/>
        <v>0</v>
      </c>
      <c r="CA40" s="424">
        <f t="shared" si="89"/>
        <v>0</v>
      </c>
      <c r="CB40" s="425">
        <f t="shared" si="90"/>
        <v>0</v>
      </c>
      <c r="CC40" s="417">
        <f t="shared" si="91"/>
        <v>0</v>
      </c>
      <c r="CD40" s="424">
        <f t="shared" si="92"/>
        <v>0</v>
      </c>
      <c r="CE40" s="425">
        <f t="shared" si="93"/>
        <v>0</v>
      </c>
      <c r="CF40" s="417">
        <f t="shared" si="94"/>
        <v>0</v>
      </c>
      <c r="CG40" s="424">
        <f t="shared" si="95"/>
        <v>0</v>
      </c>
      <c r="CH40" s="425">
        <f t="shared" si="96"/>
        <v>0</v>
      </c>
      <c r="CI40" s="417">
        <f t="shared" si="97"/>
        <v>0</v>
      </c>
      <c r="CJ40" s="424">
        <f t="shared" si="98"/>
        <v>0</v>
      </c>
      <c r="CK40" s="425">
        <f t="shared" si="99"/>
        <v>0</v>
      </c>
      <c r="CL40" s="417">
        <f t="shared" si="100"/>
        <v>0</v>
      </c>
      <c r="CM40" s="424">
        <f t="shared" si="101"/>
        <v>0</v>
      </c>
      <c r="CN40" s="425">
        <f t="shared" si="102"/>
        <v>0</v>
      </c>
      <c r="CO40" s="417">
        <f t="shared" si="103"/>
        <v>0</v>
      </c>
      <c r="CP40" s="424">
        <f t="shared" si="104"/>
        <v>0</v>
      </c>
      <c r="CQ40" s="425">
        <f t="shared" si="105"/>
        <v>0</v>
      </c>
      <c r="CR40" s="417">
        <f t="shared" si="106"/>
        <v>0</v>
      </c>
      <c r="CS40" s="424">
        <f t="shared" si="107"/>
        <v>0</v>
      </c>
      <c r="CT40" s="425">
        <f t="shared" si="108"/>
        <v>0</v>
      </c>
      <c r="CU40" s="417">
        <f t="shared" si="109"/>
        <v>0</v>
      </c>
      <c r="CV40" s="424">
        <f t="shared" si="110"/>
        <v>0</v>
      </c>
      <c r="CW40" s="425">
        <f t="shared" si="111"/>
        <v>0</v>
      </c>
      <c r="CX40" s="417">
        <f t="shared" si="112"/>
        <v>0</v>
      </c>
    </row>
    <row r="41" spans="1:102">
      <c r="A41" s="430"/>
      <c r="B41" s="429"/>
      <c r="C41" s="416"/>
      <c r="D41" s="417"/>
      <c r="E41" s="582"/>
      <c r="F41" s="418"/>
      <c r="G41" s="416"/>
      <c r="H41" s="417"/>
      <c r="I41" s="416"/>
      <c r="J41" s="417"/>
      <c r="K41" s="419"/>
      <c r="L41" s="420"/>
      <c r="M41" s="416"/>
      <c r="N41" s="417"/>
      <c r="O41" s="419"/>
      <c r="P41" s="420"/>
      <c r="Q41" s="416"/>
      <c r="R41" s="417"/>
      <c r="S41" s="419"/>
      <c r="T41" s="420"/>
      <c r="U41" s="416"/>
      <c r="V41" s="417"/>
      <c r="W41" s="419"/>
      <c r="X41" s="420"/>
      <c r="Y41" s="416"/>
      <c r="Z41" s="417"/>
      <c r="AA41" s="419"/>
      <c r="AB41" s="420"/>
      <c r="AC41" s="416"/>
      <c r="AD41" s="417"/>
      <c r="AE41" s="419"/>
      <c r="AF41" s="417"/>
      <c r="AG41" s="419"/>
      <c r="AH41" s="421"/>
      <c r="AI41" s="419"/>
      <c r="AJ41" s="421"/>
      <c r="AK41" s="419"/>
      <c r="AL41" s="421"/>
      <c r="AM41" s="419"/>
      <c r="AN41" s="421"/>
      <c r="AO41" s="419"/>
      <c r="AP41" s="421"/>
      <c r="AQ41" s="419"/>
      <c r="AR41" s="421"/>
      <c r="AS41" s="192"/>
      <c r="AT41" s="192"/>
      <c r="AU41" s="422"/>
      <c r="AV41" s="423"/>
      <c r="AW41" s="424"/>
      <c r="AX41" s="425"/>
      <c r="AY41" s="417"/>
      <c r="AZ41" s="424"/>
      <c r="BA41" s="425"/>
      <c r="BB41" s="417"/>
      <c r="BC41" s="424"/>
      <c r="BD41" s="425"/>
      <c r="BE41" s="417"/>
      <c r="BF41" s="424"/>
      <c r="BG41" s="425"/>
      <c r="BH41" s="417"/>
      <c r="BI41" s="424"/>
      <c r="BJ41" s="425"/>
      <c r="BK41" s="417"/>
      <c r="BL41" s="424"/>
      <c r="BM41" s="425"/>
      <c r="BN41" s="417"/>
      <c r="BO41" s="424"/>
      <c r="BP41" s="425"/>
      <c r="BQ41" s="417"/>
      <c r="BR41" s="424"/>
      <c r="BS41" s="425"/>
      <c r="BT41" s="417"/>
      <c r="BU41" s="424"/>
      <c r="BV41" s="425"/>
      <c r="BW41" s="417"/>
      <c r="BX41" s="424"/>
      <c r="BY41" s="425"/>
      <c r="BZ41" s="417"/>
      <c r="CA41" s="424"/>
      <c r="CB41" s="425"/>
      <c r="CC41" s="417"/>
      <c r="CD41" s="424"/>
      <c r="CE41" s="425"/>
      <c r="CF41" s="417"/>
      <c r="CG41" s="424"/>
      <c r="CH41" s="425"/>
      <c r="CI41" s="417"/>
      <c r="CJ41" s="424"/>
      <c r="CK41" s="425"/>
      <c r="CL41" s="417"/>
      <c r="CM41" s="424"/>
      <c r="CN41" s="425"/>
      <c r="CO41" s="417"/>
      <c r="CP41" s="424"/>
      <c r="CQ41" s="425"/>
      <c r="CR41" s="417"/>
      <c r="CS41" s="424"/>
      <c r="CT41" s="425"/>
      <c r="CU41" s="417"/>
      <c r="CV41" s="424"/>
      <c r="CW41" s="425"/>
      <c r="CX41" s="417"/>
    </row>
    <row r="42" spans="1:102" s="560" customFormat="1">
      <c r="A42" s="569"/>
      <c r="B42" s="570"/>
      <c r="C42" s="571"/>
      <c r="D42" s="572"/>
      <c r="E42" s="584"/>
      <c r="F42" s="573"/>
      <c r="G42" s="571">
        <f>SUM(G36:G40)</f>
        <v>6300000</v>
      </c>
      <c r="H42" s="572">
        <f t="shared" ref="H42:AH42" si="113">SUM(H36:H40)</f>
        <v>2096896</v>
      </c>
      <c r="I42" s="571">
        <f t="shared" si="113"/>
        <v>9500000</v>
      </c>
      <c r="J42" s="572">
        <f t="shared" si="113"/>
        <v>2122231</v>
      </c>
      <c r="K42" s="574">
        <f t="shared" si="113"/>
        <v>3500000</v>
      </c>
      <c r="L42" s="575">
        <f t="shared" si="113"/>
        <v>1300000</v>
      </c>
      <c r="M42" s="571">
        <f t="shared" si="113"/>
        <v>3900000</v>
      </c>
      <c r="N42" s="572">
        <f t="shared" si="113"/>
        <v>1200000</v>
      </c>
      <c r="O42" s="574">
        <f t="shared" si="113"/>
        <v>6000000</v>
      </c>
      <c r="P42" s="575">
        <f t="shared" si="113"/>
        <v>1023273</v>
      </c>
      <c r="Q42" s="571">
        <f t="shared" si="113"/>
        <v>6000000</v>
      </c>
      <c r="R42" s="572">
        <f t="shared" si="113"/>
        <v>765324</v>
      </c>
      <c r="S42" s="574">
        <f t="shared" si="113"/>
        <v>4000000</v>
      </c>
      <c r="T42" s="575">
        <f t="shared" si="113"/>
        <v>409310</v>
      </c>
      <c r="U42" s="571">
        <f t="shared" si="113"/>
        <v>4000000</v>
      </c>
      <c r="V42" s="572">
        <f t="shared" si="113"/>
        <v>180000</v>
      </c>
      <c r="W42" s="574">
        <f t="shared" si="113"/>
        <v>0</v>
      </c>
      <c r="X42" s="575">
        <f t="shared" si="113"/>
        <v>0</v>
      </c>
      <c r="Y42" s="571">
        <f t="shared" si="113"/>
        <v>0</v>
      </c>
      <c r="Z42" s="572">
        <f t="shared" si="113"/>
        <v>0</v>
      </c>
      <c r="AA42" s="574">
        <f t="shared" si="113"/>
        <v>0</v>
      </c>
      <c r="AB42" s="575">
        <f t="shared" si="113"/>
        <v>0</v>
      </c>
      <c r="AC42" s="571">
        <f t="shared" si="113"/>
        <v>0</v>
      </c>
      <c r="AD42" s="572">
        <f t="shared" si="113"/>
        <v>0</v>
      </c>
      <c r="AE42" s="574">
        <f t="shared" si="113"/>
        <v>0</v>
      </c>
      <c r="AF42" s="572">
        <f t="shared" si="113"/>
        <v>0</v>
      </c>
      <c r="AG42" s="574">
        <f t="shared" si="113"/>
        <v>0</v>
      </c>
      <c r="AH42" s="576">
        <f t="shared" si="113"/>
        <v>0</v>
      </c>
      <c r="AI42" s="574">
        <f t="shared" ref="AI42:AR42" si="114">SUM(AI36:AI40)</f>
        <v>0</v>
      </c>
      <c r="AJ42" s="576">
        <f t="shared" si="114"/>
        <v>0</v>
      </c>
      <c r="AK42" s="574">
        <f t="shared" si="114"/>
        <v>0</v>
      </c>
      <c r="AL42" s="576">
        <f t="shared" si="114"/>
        <v>0</v>
      </c>
      <c r="AM42" s="574">
        <f t="shared" si="114"/>
        <v>0</v>
      </c>
      <c r="AN42" s="576">
        <f t="shared" si="114"/>
        <v>0</v>
      </c>
      <c r="AO42" s="574">
        <f t="shared" si="114"/>
        <v>0</v>
      </c>
      <c r="AP42" s="576">
        <f t="shared" si="114"/>
        <v>0</v>
      </c>
      <c r="AQ42" s="574">
        <f t="shared" si="114"/>
        <v>0</v>
      </c>
      <c r="AR42" s="576">
        <f t="shared" si="114"/>
        <v>0</v>
      </c>
      <c r="AS42" s="577"/>
      <c r="AT42" s="577"/>
      <c r="AU42" s="578"/>
      <c r="AV42" s="579"/>
      <c r="AW42" s="580"/>
      <c r="AX42" s="581"/>
      <c r="AY42" s="572"/>
      <c r="AZ42" s="580"/>
      <c r="BA42" s="581"/>
      <c r="BB42" s="572"/>
      <c r="BC42" s="580"/>
      <c r="BD42" s="581"/>
      <c r="BE42" s="572"/>
      <c r="BF42" s="580"/>
      <c r="BG42" s="581"/>
      <c r="BH42" s="572"/>
      <c r="BI42" s="580"/>
      <c r="BJ42" s="581"/>
      <c r="BK42" s="572"/>
      <c r="BL42" s="580"/>
      <c r="BM42" s="581"/>
      <c r="BN42" s="572"/>
      <c r="BO42" s="580"/>
      <c r="BP42" s="581"/>
      <c r="BQ42" s="572"/>
      <c r="BR42" s="580"/>
      <c r="BS42" s="581"/>
      <c r="BT42" s="572"/>
      <c r="BU42" s="580"/>
      <c r="BV42" s="581"/>
      <c r="BW42" s="572"/>
      <c r="BX42" s="580"/>
      <c r="BY42" s="581"/>
      <c r="BZ42" s="572"/>
      <c r="CA42" s="580"/>
      <c r="CB42" s="581"/>
      <c r="CC42" s="572"/>
      <c r="CD42" s="580"/>
      <c r="CE42" s="581"/>
      <c r="CF42" s="572"/>
      <c r="CG42" s="580"/>
      <c r="CH42" s="581"/>
      <c r="CI42" s="572"/>
      <c r="CJ42" s="580"/>
      <c r="CK42" s="581"/>
      <c r="CL42" s="572"/>
      <c r="CM42" s="580"/>
      <c r="CN42" s="581"/>
      <c r="CO42" s="572"/>
      <c r="CP42" s="580"/>
      <c r="CQ42" s="581"/>
      <c r="CR42" s="572"/>
      <c r="CS42" s="580"/>
      <c r="CT42" s="581"/>
      <c r="CU42" s="572"/>
      <c r="CV42" s="580"/>
      <c r="CW42" s="581"/>
      <c r="CX42" s="572"/>
    </row>
    <row r="43" spans="1:102">
      <c r="A43" s="430"/>
      <c r="B43" s="429">
        <f>ROUNDUP('HSZ do groszy'!B43,0)</f>
        <v>0</v>
      </c>
      <c r="C43" s="416">
        <f>ROUNDUP('HSZ do groszy'!C43,0)</f>
        <v>0</v>
      </c>
      <c r="D43" s="417">
        <f>ROUNDUP('HSZ do groszy'!D43,0)</f>
        <v>0</v>
      </c>
      <c r="E43" s="582">
        <f t="shared" si="71"/>
        <v>0</v>
      </c>
      <c r="F43" s="418">
        <f t="shared" si="72"/>
        <v>0</v>
      </c>
      <c r="G43" s="416">
        <f>ROUNDUP('HSZ do groszy'!G43,0)</f>
        <v>0</v>
      </c>
      <c r="H43" s="417">
        <f>ROUNDUP('HSZ do groszy'!H43,0)</f>
        <v>0</v>
      </c>
      <c r="I43" s="416">
        <f>ROUNDUP('HSZ do groszy'!I43,0)</f>
        <v>0</v>
      </c>
      <c r="J43" s="417">
        <f>ROUNDUP('HSZ do groszy'!J43,0)</f>
        <v>0</v>
      </c>
      <c r="K43" s="419">
        <f>ROUNDUP('HSZ do groszy'!K43,0)</f>
        <v>0</v>
      </c>
      <c r="L43" s="420">
        <f>ROUNDUP('HSZ do groszy'!L43,0)</f>
        <v>0</v>
      </c>
      <c r="M43" s="416">
        <f>ROUNDUP('HSZ do groszy'!M43,0)</f>
        <v>0</v>
      </c>
      <c r="N43" s="417">
        <f>ROUNDUP('HSZ do groszy'!N43,0)</f>
        <v>0</v>
      </c>
      <c r="O43" s="419">
        <f>ROUNDUP('HSZ do groszy'!O43,0)</f>
        <v>0</v>
      </c>
      <c r="P43" s="420">
        <f>ROUNDUP('HSZ do groszy'!P43,0)</f>
        <v>0</v>
      </c>
      <c r="Q43" s="416">
        <f>ROUNDUP('HSZ do groszy'!Q43,0)</f>
        <v>0</v>
      </c>
      <c r="R43" s="417">
        <f>ROUNDUP('HSZ do groszy'!R43,0)</f>
        <v>0</v>
      </c>
      <c r="S43" s="419">
        <f>ROUNDUP('HSZ do groszy'!S43,0)</f>
        <v>0</v>
      </c>
      <c r="T43" s="420">
        <f>ROUNDUP('HSZ do groszy'!T43,0)</f>
        <v>0</v>
      </c>
      <c r="U43" s="416">
        <f>ROUNDUP('HSZ do groszy'!U43,0)</f>
        <v>0</v>
      </c>
      <c r="V43" s="417">
        <f>ROUNDUP('HSZ do groszy'!V43,0)</f>
        <v>0</v>
      </c>
      <c r="W43" s="419">
        <f>ROUNDUP('HSZ do groszy'!W43,0)</f>
        <v>0</v>
      </c>
      <c r="X43" s="420">
        <f>ROUNDUP('HSZ do groszy'!X43,0)</f>
        <v>0</v>
      </c>
      <c r="Y43" s="416">
        <f>ROUNDUP('HSZ do groszy'!Y43,0)</f>
        <v>0</v>
      </c>
      <c r="Z43" s="417">
        <f>ROUNDUP('HSZ do groszy'!Z43,0)</f>
        <v>0</v>
      </c>
      <c r="AA43" s="419">
        <f>ROUNDUP('HSZ do groszy'!AA43,0)</f>
        <v>0</v>
      </c>
      <c r="AB43" s="420">
        <f>ROUNDUP('HSZ do groszy'!AB43,0)</f>
        <v>0</v>
      </c>
      <c r="AC43" s="416">
        <f>ROUNDUP('HSZ do groszy'!AC43,0)</f>
        <v>0</v>
      </c>
      <c r="AD43" s="417">
        <f>ROUNDUP('HSZ do groszy'!AD43,0)</f>
        <v>0</v>
      </c>
      <c r="AE43" s="419">
        <f>ROUNDUP('HSZ do groszy'!AE43,0)</f>
        <v>0</v>
      </c>
      <c r="AF43" s="417">
        <f>ROUNDUP('HSZ do groszy'!AF43,0)</f>
        <v>0</v>
      </c>
      <c r="AG43" s="419">
        <f>ROUNDUP('HSZ do groszy'!AG43,0)</f>
        <v>0</v>
      </c>
      <c r="AH43" s="421">
        <f>ROUNDUP('HSZ do groszy'!AH43,0)</f>
        <v>0</v>
      </c>
      <c r="AI43" s="419">
        <f>ROUNDUP('HSZ do groszy'!AI43,0)</f>
        <v>0</v>
      </c>
      <c r="AJ43" s="421">
        <f>ROUNDUP('HSZ do groszy'!AJ43,0)</f>
        <v>0</v>
      </c>
      <c r="AK43" s="419">
        <f>ROUNDUP('HSZ do groszy'!AK43,0)</f>
        <v>0</v>
      </c>
      <c r="AL43" s="421">
        <f>ROUNDUP('HSZ do groszy'!AL43,0)</f>
        <v>0</v>
      </c>
      <c r="AM43" s="419">
        <f>ROUNDUP('HSZ do groszy'!AM43,0)</f>
        <v>0</v>
      </c>
      <c r="AN43" s="421">
        <f>ROUNDUP('HSZ do groszy'!AN43,0)</f>
        <v>0</v>
      </c>
      <c r="AO43" s="419">
        <f>ROUNDUP('HSZ do groszy'!AO43,0)</f>
        <v>0</v>
      </c>
      <c r="AP43" s="421">
        <f>ROUNDUP('HSZ do groszy'!AP43,0)</f>
        <v>0</v>
      </c>
      <c r="AQ43" s="419">
        <f>ROUNDUP('HSZ do groszy'!AQ43,0)</f>
        <v>0</v>
      </c>
      <c r="AR43" s="421">
        <f>ROUNDUP('HSZ do groszy'!AR43,0)</f>
        <v>0</v>
      </c>
      <c r="AS43" s="192"/>
      <c r="AT43" s="192"/>
      <c r="AU43" s="422"/>
      <c r="AV43" s="423"/>
      <c r="AW43" s="424"/>
      <c r="AX43" s="425"/>
      <c r="AY43" s="417"/>
      <c r="AZ43" s="424"/>
      <c r="BA43" s="425"/>
      <c r="BB43" s="417"/>
      <c r="BC43" s="424"/>
      <c r="BD43" s="425"/>
      <c r="BE43" s="417"/>
      <c r="BF43" s="424"/>
      <c r="BG43" s="425"/>
      <c r="BH43" s="417"/>
      <c r="BI43" s="424"/>
      <c r="BJ43" s="425"/>
      <c r="BK43" s="417"/>
      <c r="BL43" s="424"/>
      <c r="BM43" s="425"/>
      <c r="BN43" s="417"/>
      <c r="BO43" s="424"/>
      <c r="BP43" s="425"/>
      <c r="BQ43" s="417"/>
      <c r="BR43" s="424"/>
      <c r="BS43" s="425"/>
      <c r="BT43" s="417"/>
      <c r="BU43" s="424"/>
      <c r="BV43" s="425"/>
      <c r="BW43" s="417"/>
      <c r="BX43" s="424"/>
      <c r="BY43" s="425"/>
      <c r="BZ43" s="417"/>
      <c r="CA43" s="424"/>
      <c r="CB43" s="425"/>
      <c r="CC43" s="417"/>
      <c r="CD43" s="424"/>
      <c r="CE43" s="425"/>
      <c r="CF43" s="417"/>
      <c r="CG43" s="424"/>
      <c r="CH43" s="425"/>
      <c r="CI43" s="417"/>
      <c r="CJ43" s="424"/>
      <c r="CK43" s="425"/>
      <c r="CL43" s="417"/>
      <c r="CM43" s="424"/>
      <c r="CN43" s="425"/>
      <c r="CO43" s="417"/>
      <c r="CP43" s="424"/>
      <c r="CQ43" s="425"/>
      <c r="CR43" s="417"/>
      <c r="CS43" s="424"/>
      <c r="CT43" s="425"/>
      <c r="CU43" s="417"/>
      <c r="CV43" s="424"/>
      <c r="CW43" s="425"/>
      <c r="CX43" s="417"/>
    </row>
    <row r="44" spans="1:102" s="600" customFormat="1">
      <c r="A44" s="586" t="str">
        <f>'HSZ do groszy'!A44</f>
        <v>NORDEA 2012</v>
      </c>
      <c r="B44" s="587">
        <f>ROUNDUP('HSZ do groszy'!B44,0)</f>
        <v>9000000</v>
      </c>
      <c r="C44" s="588">
        <f>ROUNDUP('HSZ do groszy'!C44,0)</f>
        <v>0</v>
      </c>
      <c r="D44" s="589">
        <f>ROUNDUP('HSZ do groszy'!D44,0)</f>
        <v>0</v>
      </c>
      <c r="E44" s="590">
        <f t="shared" si="71"/>
        <v>9000000</v>
      </c>
      <c r="F44" s="591">
        <f t="shared" si="72"/>
        <v>3697773</v>
      </c>
      <c r="G44" s="588">
        <f>ROUNDUP('HSZ do groszy'!G44,0)</f>
        <v>0</v>
      </c>
      <c r="H44" s="589">
        <f>ROUNDUP('HSZ do groszy'!H44,0)</f>
        <v>0</v>
      </c>
      <c r="I44" s="588">
        <f>ROUNDUP('HSZ do groszy'!I44,0)</f>
        <v>0</v>
      </c>
      <c r="J44" s="589">
        <f>ROUNDUP('HSZ do groszy'!J44,0)</f>
        <v>521588</v>
      </c>
      <c r="K44" s="592">
        <f>ROUNDUP('HSZ do groszy'!K44,0)</f>
        <v>0</v>
      </c>
      <c r="L44" s="593">
        <f>ROUNDUP('HSZ do groszy'!L44,0)</f>
        <v>450000</v>
      </c>
      <c r="M44" s="588">
        <f>ROUNDUP('HSZ do groszy'!M44,0)</f>
        <v>0</v>
      </c>
      <c r="N44" s="589">
        <f>ROUNDUP('HSZ do groszy'!N44,0)</f>
        <v>500000</v>
      </c>
      <c r="O44" s="592">
        <f>ROUNDUP('HSZ do groszy'!O44,0)</f>
        <v>0</v>
      </c>
      <c r="P44" s="593">
        <f>ROUNDUP('HSZ do groszy'!P44,0)</f>
        <v>521588</v>
      </c>
      <c r="Q44" s="588">
        <f>ROUNDUP('HSZ do groszy'!Q44,0)</f>
        <v>0</v>
      </c>
      <c r="R44" s="589">
        <f>ROUNDUP('HSZ do groszy'!R44,0)</f>
        <v>521588</v>
      </c>
      <c r="S44" s="592">
        <f>ROUNDUP('HSZ do groszy'!S44,0)</f>
        <v>2000000</v>
      </c>
      <c r="T44" s="593">
        <f>ROUNDUP('HSZ do groszy'!T44,0)</f>
        <v>521588</v>
      </c>
      <c r="U44" s="588">
        <f>ROUNDUP('HSZ do groszy'!U44,0)</f>
        <v>3000000</v>
      </c>
      <c r="V44" s="589">
        <f>ROUNDUP('HSZ do groszy'!V44,0)</f>
        <v>427788</v>
      </c>
      <c r="W44" s="592">
        <f>ROUNDUP('HSZ do groszy'!W44,0)</f>
        <v>4000000</v>
      </c>
      <c r="X44" s="593">
        <f>ROUNDUP('HSZ do groszy'!X44,0)</f>
        <v>233633</v>
      </c>
      <c r="Y44" s="588">
        <f>ROUNDUP('HSZ do groszy'!Y44,0)</f>
        <v>0</v>
      </c>
      <c r="Z44" s="589">
        <f>ROUNDUP('HSZ do groszy'!Z44,0)</f>
        <v>0</v>
      </c>
      <c r="AA44" s="592">
        <f>ROUNDUP('HSZ do groszy'!AA44,0)</f>
        <v>0</v>
      </c>
      <c r="AB44" s="593">
        <f>ROUNDUP('HSZ do groszy'!AB44,0)</f>
        <v>0</v>
      </c>
      <c r="AC44" s="588">
        <f>ROUNDUP('HSZ do groszy'!AC44,0)</f>
        <v>0</v>
      </c>
      <c r="AD44" s="589">
        <f>ROUNDUP('HSZ do groszy'!AD44,0)</f>
        <v>0</v>
      </c>
      <c r="AE44" s="592">
        <f>ROUNDUP('HSZ do groszy'!AE44,0)</f>
        <v>0</v>
      </c>
      <c r="AF44" s="589">
        <f>ROUNDUP('HSZ do groszy'!AF44,0)</f>
        <v>0</v>
      </c>
      <c r="AG44" s="592">
        <f>ROUNDUP('HSZ do groszy'!AG44,0)</f>
        <v>0</v>
      </c>
      <c r="AH44" s="594">
        <f>ROUNDUP('HSZ do groszy'!AH44,0)</f>
        <v>0</v>
      </c>
      <c r="AI44" s="592">
        <f>ROUNDUP('HSZ do groszy'!AI44,0)</f>
        <v>0</v>
      </c>
      <c r="AJ44" s="594">
        <f>ROUNDUP('HSZ do groszy'!AJ44,0)</f>
        <v>0</v>
      </c>
      <c r="AK44" s="592">
        <f>ROUNDUP('HSZ do groszy'!AK44,0)</f>
        <v>0</v>
      </c>
      <c r="AL44" s="594">
        <f>ROUNDUP('HSZ do groszy'!AL44,0)</f>
        <v>0</v>
      </c>
      <c r="AM44" s="592">
        <f>ROUNDUP('HSZ do groszy'!AM44,0)</f>
        <v>0</v>
      </c>
      <c r="AN44" s="594">
        <f>ROUNDUP('HSZ do groszy'!AN44,0)</f>
        <v>0</v>
      </c>
      <c r="AO44" s="592">
        <f>ROUNDUP('HSZ do groszy'!AO44,0)</f>
        <v>0</v>
      </c>
      <c r="AP44" s="594">
        <f>ROUNDUP('HSZ do groszy'!AP44,0)</f>
        <v>0</v>
      </c>
      <c r="AQ44" s="592">
        <f>ROUNDUP('HSZ do groszy'!AQ44,0)</f>
        <v>0</v>
      </c>
      <c r="AR44" s="594">
        <f>ROUNDUP('HSZ do groszy'!AR44,0)</f>
        <v>0</v>
      </c>
      <c r="AS44" s="595"/>
      <c r="AT44" s="595"/>
      <c r="AU44" s="596" t="str">
        <f>A44</f>
        <v>NORDEA 2012</v>
      </c>
      <c r="AV44" s="597"/>
      <c r="AW44" s="598">
        <f>SUM($I44,$K44,$M44,$O44,$Q44,$S44,$U44,$W44,$Y44,$AA44,$AC44,$AE44,$AG44)</f>
        <v>9000000</v>
      </c>
      <c r="AX44" s="599">
        <f>SUM($J44,$L44,$N44,$P44,$R44,$T44,$V44,$X44,$Z44,$AB44,$AD44,$AF44,$AH44)</f>
        <v>3697773</v>
      </c>
      <c r="AY44" s="589">
        <f>SUM(AW44,AX44)</f>
        <v>12697773</v>
      </c>
      <c r="AZ44" s="598">
        <f>SUM($K44,$M44,$O44,$Q44,$S44,$U44,$W44,$Y44,$AA44,$AC44,$AE44,$AG44)</f>
        <v>9000000</v>
      </c>
      <c r="BA44" s="599">
        <f>SUM($L44,$N44,$P44,$R44,$T44,$V44,$X44,$Z44,$AB44,$AD44,$AF44,$AH44)</f>
        <v>3176185</v>
      </c>
      <c r="BB44" s="589">
        <f>SUM(AZ44,BA44)</f>
        <v>12176185</v>
      </c>
      <c r="BC44" s="598">
        <f>SUM($M44,$O44,$Q44,$S44,$U44,$W44,$Y44,$AA44,$AC44,$AE44,$AG44)</f>
        <v>9000000</v>
      </c>
      <c r="BD44" s="599">
        <f>SUM($N44,$P44,$R44,$T44,$V44,$X44,$Z44,$AB44,$AD44,$AF44,$AH44)</f>
        <v>2726185</v>
      </c>
      <c r="BE44" s="589">
        <f>SUM(BC44,BD44)</f>
        <v>11726185</v>
      </c>
      <c r="BF44" s="598">
        <f t="shared" si="74"/>
        <v>9000000</v>
      </c>
      <c r="BG44" s="599">
        <f t="shared" si="75"/>
        <v>2226185</v>
      </c>
      <c r="BH44" s="589">
        <f>SUM(BF44,BG44)</f>
        <v>11226185</v>
      </c>
      <c r="BI44" s="598">
        <f t="shared" si="76"/>
        <v>9000000</v>
      </c>
      <c r="BJ44" s="599">
        <f t="shared" si="77"/>
        <v>1704597</v>
      </c>
      <c r="BK44" s="589">
        <f>SUM(BI44,BJ44)</f>
        <v>10704597</v>
      </c>
      <c r="BL44" s="598">
        <f t="shared" si="78"/>
        <v>9000000</v>
      </c>
      <c r="BM44" s="599">
        <f t="shared" si="79"/>
        <v>1183009</v>
      </c>
      <c r="BN44" s="589">
        <f>SUM(BL44,BM44)</f>
        <v>10183009</v>
      </c>
      <c r="BO44" s="598">
        <f t="shared" si="80"/>
        <v>7000000</v>
      </c>
      <c r="BP44" s="599">
        <f t="shared" si="81"/>
        <v>661421</v>
      </c>
      <c r="BQ44" s="589">
        <f>SUM(BO44,BP44)</f>
        <v>7661421</v>
      </c>
      <c r="BR44" s="598">
        <f t="shared" si="82"/>
        <v>4000000</v>
      </c>
      <c r="BS44" s="599">
        <f t="shared" si="83"/>
        <v>233633</v>
      </c>
      <c r="BT44" s="589">
        <f>SUM(BR44,BS44)</f>
        <v>4233633</v>
      </c>
      <c r="BU44" s="598">
        <f t="shared" si="84"/>
        <v>0</v>
      </c>
      <c r="BV44" s="599">
        <f t="shared" si="85"/>
        <v>0</v>
      </c>
      <c r="BW44" s="589">
        <f>SUM(BU44,BV44)</f>
        <v>0</v>
      </c>
      <c r="BX44" s="598">
        <f t="shared" si="86"/>
        <v>0</v>
      </c>
      <c r="BY44" s="599">
        <f t="shared" si="87"/>
        <v>0</v>
      </c>
      <c r="BZ44" s="589">
        <f t="shared" si="88"/>
        <v>0</v>
      </c>
      <c r="CA44" s="598">
        <f t="shared" si="89"/>
        <v>0</v>
      </c>
      <c r="CB44" s="599">
        <f t="shared" si="90"/>
        <v>0</v>
      </c>
      <c r="CC44" s="589">
        <f t="shared" si="91"/>
        <v>0</v>
      </c>
      <c r="CD44" s="598">
        <f t="shared" si="92"/>
        <v>0</v>
      </c>
      <c r="CE44" s="599">
        <f t="shared" si="93"/>
        <v>0</v>
      </c>
      <c r="CF44" s="589">
        <f t="shared" si="94"/>
        <v>0</v>
      </c>
      <c r="CG44" s="598">
        <f t="shared" si="95"/>
        <v>0</v>
      </c>
      <c r="CH44" s="599">
        <f t="shared" si="96"/>
        <v>0</v>
      </c>
      <c r="CI44" s="589">
        <f t="shared" si="97"/>
        <v>0</v>
      </c>
      <c r="CJ44" s="598">
        <f t="shared" si="98"/>
        <v>0</v>
      </c>
      <c r="CK44" s="599">
        <f t="shared" si="99"/>
        <v>0</v>
      </c>
      <c r="CL44" s="589">
        <f t="shared" ref="CL44" si="115">SUM(CJ44,CK44)</f>
        <v>0</v>
      </c>
      <c r="CM44" s="598">
        <f t="shared" si="101"/>
        <v>0</v>
      </c>
      <c r="CN44" s="599">
        <f t="shared" si="102"/>
        <v>0</v>
      </c>
      <c r="CO44" s="589">
        <f t="shared" ref="CO44" si="116">SUM(CM44,CN44)</f>
        <v>0</v>
      </c>
      <c r="CP44" s="598">
        <f t="shared" si="104"/>
        <v>0</v>
      </c>
      <c r="CQ44" s="599">
        <f t="shared" si="105"/>
        <v>0</v>
      </c>
      <c r="CR44" s="589">
        <f t="shared" ref="CR44" si="117">SUM(CP44,CQ44)</f>
        <v>0</v>
      </c>
      <c r="CS44" s="598">
        <f t="shared" si="107"/>
        <v>0</v>
      </c>
      <c r="CT44" s="599">
        <f t="shared" si="108"/>
        <v>0</v>
      </c>
      <c r="CU44" s="589">
        <f t="shared" ref="CU44" si="118">SUM(CS44,CT44)</f>
        <v>0</v>
      </c>
      <c r="CV44" s="598">
        <f t="shared" si="110"/>
        <v>0</v>
      </c>
      <c r="CW44" s="599">
        <f t="shared" si="111"/>
        <v>0</v>
      </c>
      <c r="CX44" s="589">
        <f t="shared" ref="CX44" si="119">SUM(CV44,CW44)</f>
        <v>0</v>
      </c>
    </row>
    <row r="45" spans="1:102">
      <c r="A45" s="430"/>
      <c r="B45" s="429"/>
      <c r="C45" s="416">
        <f>ROUNDUP('HSZ do groszy'!C45,0)</f>
        <v>0</v>
      </c>
      <c r="D45" s="417">
        <f>ROUNDUP('HSZ do groszy'!D45,0)</f>
        <v>0</v>
      </c>
      <c r="E45" s="582">
        <f t="shared" si="71"/>
        <v>0</v>
      </c>
      <c r="F45" s="418">
        <f t="shared" si="72"/>
        <v>0</v>
      </c>
      <c r="G45" s="416">
        <f>ROUNDUP('HSZ do groszy'!G45,0)</f>
        <v>0</v>
      </c>
      <c r="H45" s="417">
        <f>ROUNDUP('HSZ do groszy'!H45,0)</f>
        <v>0</v>
      </c>
      <c r="I45" s="416">
        <f>ROUNDUP('HSZ do groszy'!I45,0)</f>
        <v>0</v>
      </c>
      <c r="J45" s="417">
        <f>ROUNDUP('HSZ do groszy'!J45,0)</f>
        <v>0</v>
      </c>
      <c r="K45" s="419">
        <f>ROUNDUP('HSZ do groszy'!K45,0)</f>
        <v>0</v>
      </c>
      <c r="L45" s="420">
        <f>ROUNDUP('HSZ do groszy'!L45,0)</f>
        <v>0</v>
      </c>
      <c r="M45" s="416">
        <f>ROUNDUP('HSZ do groszy'!M45,0)</f>
        <v>0</v>
      </c>
      <c r="N45" s="417">
        <f>ROUNDUP('HSZ do groszy'!N45,0)</f>
        <v>0</v>
      </c>
      <c r="O45" s="419">
        <f>ROUNDUP('HSZ do groszy'!O45,0)</f>
        <v>0</v>
      </c>
      <c r="P45" s="420">
        <f>ROUNDUP('HSZ do groszy'!P45,0)</f>
        <v>0</v>
      </c>
      <c r="Q45" s="416">
        <f>ROUNDUP('HSZ do groszy'!Q45,0)</f>
        <v>0</v>
      </c>
      <c r="R45" s="417">
        <f>ROUNDUP('HSZ do groszy'!R45,0)</f>
        <v>0</v>
      </c>
      <c r="S45" s="419">
        <f>ROUNDUP('HSZ do groszy'!S45,0)</f>
        <v>0</v>
      </c>
      <c r="T45" s="420">
        <f>ROUNDUP('HSZ do groszy'!T45,0)</f>
        <v>0</v>
      </c>
      <c r="U45" s="416">
        <f>ROUNDUP('HSZ do groszy'!U45,0)</f>
        <v>0</v>
      </c>
      <c r="V45" s="417">
        <f>ROUNDUP('HSZ do groszy'!V45,0)</f>
        <v>0</v>
      </c>
      <c r="W45" s="419">
        <f>ROUNDUP('HSZ do groszy'!W45,0)</f>
        <v>0</v>
      </c>
      <c r="X45" s="420">
        <f>ROUNDUP('HSZ do groszy'!X45,0)</f>
        <v>0</v>
      </c>
      <c r="Y45" s="416">
        <f>ROUNDUP('HSZ do groszy'!Y45,0)</f>
        <v>0</v>
      </c>
      <c r="Z45" s="417">
        <f>ROUNDUP('HSZ do groszy'!Z45,0)</f>
        <v>0</v>
      </c>
      <c r="AA45" s="419">
        <f>ROUNDUP('HSZ do groszy'!AA45,0)</f>
        <v>0</v>
      </c>
      <c r="AB45" s="420">
        <f>ROUNDUP('HSZ do groszy'!AB45,0)</f>
        <v>0</v>
      </c>
      <c r="AC45" s="416">
        <f>ROUNDUP('HSZ do groszy'!AC45,0)</f>
        <v>0</v>
      </c>
      <c r="AD45" s="417">
        <f>ROUNDUP('HSZ do groszy'!AD45,0)</f>
        <v>0</v>
      </c>
      <c r="AE45" s="419">
        <f>ROUNDUP('HSZ do groszy'!AE45,0)</f>
        <v>0</v>
      </c>
      <c r="AF45" s="417">
        <f>ROUNDUP('HSZ do groszy'!AF45,0)</f>
        <v>0</v>
      </c>
      <c r="AG45" s="419">
        <f>ROUNDUP('HSZ do groszy'!AG45,0)</f>
        <v>0</v>
      </c>
      <c r="AH45" s="421">
        <f>ROUNDUP('HSZ do groszy'!AH45,0)</f>
        <v>0</v>
      </c>
      <c r="AI45" s="419">
        <f>ROUNDUP('HSZ do groszy'!AI45,0)</f>
        <v>0</v>
      </c>
      <c r="AJ45" s="421">
        <f>ROUNDUP('HSZ do groszy'!AJ45,0)</f>
        <v>0</v>
      </c>
      <c r="AK45" s="419">
        <f>ROUNDUP('HSZ do groszy'!AK45,0)</f>
        <v>0</v>
      </c>
      <c r="AL45" s="421">
        <f>ROUNDUP('HSZ do groszy'!AL45,0)</f>
        <v>0</v>
      </c>
      <c r="AM45" s="419">
        <f>ROUNDUP('HSZ do groszy'!AM45,0)</f>
        <v>0</v>
      </c>
      <c r="AN45" s="421">
        <f>ROUNDUP('HSZ do groszy'!AN45,0)</f>
        <v>0</v>
      </c>
      <c r="AO45" s="419">
        <f>ROUNDUP('HSZ do groszy'!AO45,0)</f>
        <v>0</v>
      </c>
      <c r="AP45" s="421">
        <f>ROUNDUP('HSZ do groszy'!AP45,0)</f>
        <v>0</v>
      </c>
      <c r="AQ45" s="419">
        <f>ROUNDUP('HSZ do groszy'!AQ45,0)</f>
        <v>0</v>
      </c>
      <c r="AR45" s="421">
        <f>ROUNDUP('HSZ do groszy'!AR45,0)</f>
        <v>0</v>
      </c>
      <c r="AS45" s="192"/>
      <c r="AT45" s="192"/>
      <c r="AU45" s="422"/>
      <c r="AV45" s="423"/>
      <c r="AW45" s="424"/>
      <c r="AX45" s="425"/>
      <c r="AY45" s="417"/>
      <c r="AZ45" s="424"/>
      <c r="BA45" s="425"/>
      <c r="BB45" s="417"/>
      <c r="BC45" s="424"/>
      <c r="BD45" s="425"/>
      <c r="BE45" s="417"/>
      <c r="BF45" s="424"/>
      <c r="BG45" s="425"/>
      <c r="BH45" s="417"/>
      <c r="BI45" s="424"/>
      <c r="BJ45" s="425"/>
      <c r="BK45" s="417"/>
      <c r="BL45" s="424"/>
      <c r="BM45" s="425"/>
      <c r="BN45" s="417"/>
      <c r="BO45" s="424"/>
      <c r="BP45" s="425"/>
      <c r="BQ45" s="417"/>
      <c r="BR45" s="424"/>
      <c r="BS45" s="425"/>
      <c r="BT45" s="417"/>
      <c r="BU45" s="424"/>
      <c r="BV45" s="425"/>
      <c r="BW45" s="417"/>
      <c r="BX45" s="424"/>
      <c r="BY45" s="425"/>
      <c r="BZ45" s="417"/>
      <c r="CA45" s="424"/>
      <c r="CB45" s="425"/>
      <c r="CC45" s="417"/>
      <c r="CD45" s="424"/>
      <c r="CE45" s="425"/>
      <c r="CF45" s="417"/>
      <c r="CG45" s="424"/>
      <c r="CH45" s="425"/>
      <c r="CI45" s="417"/>
      <c r="CJ45" s="424"/>
      <c r="CK45" s="425"/>
      <c r="CL45" s="417"/>
      <c r="CM45" s="424"/>
      <c r="CN45" s="425"/>
      <c r="CO45" s="417"/>
      <c r="CP45" s="424"/>
      <c r="CQ45" s="425"/>
      <c r="CR45" s="417"/>
      <c r="CS45" s="424"/>
      <c r="CT45" s="425"/>
      <c r="CU45" s="417"/>
      <c r="CV45" s="424"/>
      <c r="CW45" s="425"/>
      <c r="CX45" s="417"/>
    </row>
    <row r="46" spans="1:102">
      <c r="A46" s="430" t="str">
        <f>'HSZ do groszy'!A46</f>
        <v>Obligacje 2013</v>
      </c>
      <c r="B46" s="429">
        <f>ROUNDUP('HSZ do groszy'!B46,0)</f>
        <v>11300000</v>
      </c>
      <c r="C46" s="416">
        <f>ROUNDUP('HSZ do groszy'!C46,0)</f>
        <v>0</v>
      </c>
      <c r="D46" s="417">
        <f>ROUNDUP('HSZ do groszy'!D46,0)</f>
        <v>0</v>
      </c>
      <c r="E46" s="582">
        <f>G46+I46+K46+M46+O46+Q46+S46+U46+W46+Y46+AA46+AC46+AE46+AG46</f>
        <v>11300000</v>
      </c>
      <c r="F46" s="418">
        <f>H46+J46+L46+N46+P46+R46+T46+V46+X46+Z46+AB46+AD46+AF46+AH46</f>
        <v>4427965</v>
      </c>
      <c r="G46" s="416">
        <f>ROUNDUP('HSZ do groszy'!G46,0)</f>
        <v>0</v>
      </c>
      <c r="H46" s="417">
        <f>ROUNDUP('HSZ do groszy'!H46,0)</f>
        <v>0</v>
      </c>
      <c r="I46" s="416">
        <f>ROUNDUP('HSZ do groszy'!I46,0)</f>
        <v>0</v>
      </c>
      <c r="J46" s="417">
        <f>ROUNDUP('HSZ do groszy'!J46,0)</f>
        <v>0</v>
      </c>
      <c r="K46" s="419">
        <f>ROUNDUP('HSZ do groszy'!K46,0)</f>
        <v>0</v>
      </c>
      <c r="L46" s="420">
        <f>ROUNDUP('HSZ do groszy'!L46,0)</f>
        <v>500000</v>
      </c>
      <c r="M46" s="416">
        <f>ROUNDUP('HSZ do groszy'!M46,0)</f>
        <v>0</v>
      </c>
      <c r="N46" s="417">
        <f>ROUNDUP('HSZ do groszy'!N46,0)</f>
        <v>540000</v>
      </c>
      <c r="O46" s="419">
        <f>ROUNDUP('HSZ do groszy'!O46,0)</f>
        <v>0</v>
      </c>
      <c r="P46" s="420">
        <f>ROUNDUP('HSZ do groszy'!P46,0)</f>
        <v>535004</v>
      </c>
      <c r="Q46" s="416">
        <f>ROUNDUP('HSZ do groszy'!Q46,0)</f>
        <v>0</v>
      </c>
      <c r="R46" s="417">
        <f>ROUNDUP('HSZ do groszy'!R46,0)</f>
        <v>535004</v>
      </c>
      <c r="S46" s="419">
        <f>ROUNDUP('HSZ do groszy'!S46,0)</f>
        <v>0</v>
      </c>
      <c r="T46" s="420">
        <f>ROUNDUP('HSZ do groszy'!T46,0)</f>
        <v>535004</v>
      </c>
      <c r="U46" s="416">
        <f>ROUNDUP('HSZ do groszy'!U46,0)</f>
        <v>0</v>
      </c>
      <c r="V46" s="417">
        <f>ROUNDUP('HSZ do groszy'!V46,0)</f>
        <v>535004</v>
      </c>
      <c r="W46" s="419">
        <f>ROUNDUP('HSZ do groszy'!W46,0)</f>
        <v>1300000</v>
      </c>
      <c r="X46" s="420">
        <f>ROUNDUP('HSZ do groszy'!X46,0)</f>
        <v>529875</v>
      </c>
      <c r="Y46" s="416">
        <f>ROUNDUP('HSZ do groszy'!Y46,0)</f>
        <v>4000000</v>
      </c>
      <c r="Z46" s="417">
        <f>ROUNDUP('HSZ do groszy'!Z46,0)</f>
        <v>457673</v>
      </c>
      <c r="AA46" s="419">
        <f>ROUNDUP('HSZ do groszy'!AA46,0)</f>
        <v>6000000</v>
      </c>
      <c r="AB46" s="420">
        <f>ROUNDUP('HSZ do groszy'!AB46,0)</f>
        <v>260401</v>
      </c>
      <c r="AC46" s="416">
        <f>ROUNDUP('HSZ do groszy'!AC46,0)</f>
        <v>0</v>
      </c>
      <c r="AD46" s="417">
        <f>ROUNDUP('HSZ do groszy'!AD46,0)</f>
        <v>0</v>
      </c>
      <c r="AE46" s="419">
        <f>ROUNDUP('HSZ do groszy'!AE46,0)</f>
        <v>0</v>
      </c>
      <c r="AF46" s="417">
        <f>ROUNDUP('HSZ do groszy'!AF46,0)</f>
        <v>0</v>
      </c>
      <c r="AG46" s="419">
        <f>ROUNDUP('HSZ do groszy'!AG46,0)</f>
        <v>0</v>
      </c>
      <c r="AH46" s="421">
        <f>ROUNDUP('HSZ do groszy'!AH46,0)</f>
        <v>0</v>
      </c>
      <c r="AI46" s="419">
        <f>ROUNDUP('HSZ do groszy'!AI46,0)</f>
        <v>0</v>
      </c>
      <c r="AJ46" s="421">
        <f>ROUNDUP('HSZ do groszy'!AJ46,0)</f>
        <v>0</v>
      </c>
      <c r="AK46" s="419">
        <f>ROUNDUP('HSZ do groszy'!AK46,0)</f>
        <v>0</v>
      </c>
      <c r="AL46" s="421">
        <f>ROUNDUP('HSZ do groszy'!AL46,0)</f>
        <v>0</v>
      </c>
      <c r="AM46" s="419">
        <f>ROUNDUP('HSZ do groszy'!AM46,0)</f>
        <v>0</v>
      </c>
      <c r="AN46" s="421">
        <f>ROUNDUP('HSZ do groszy'!AN46,0)</f>
        <v>0</v>
      </c>
      <c r="AO46" s="419">
        <f>ROUNDUP('HSZ do groszy'!AO46,0)</f>
        <v>0</v>
      </c>
      <c r="AP46" s="421">
        <f>ROUNDUP('HSZ do groszy'!AP46,0)</f>
        <v>0</v>
      </c>
      <c r="AQ46" s="419">
        <f>ROUNDUP('HSZ do groszy'!AQ46,0)</f>
        <v>0</v>
      </c>
      <c r="AR46" s="421">
        <f>ROUNDUP('HSZ do groszy'!AR46,0)</f>
        <v>0</v>
      </c>
      <c r="AS46" s="192"/>
      <c r="AT46" s="192"/>
      <c r="AU46" s="422" t="str">
        <f t="shared" ref="AU46:AU53" si="120">A46</f>
        <v>Obligacje 2013</v>
      </c>
      <c r="AV46" s="423"/>
      <c r="AW46" s="424"/>
      <c r="AX46" s="425"/>
      <c r="AY46" s="417"/>
      <c r="AZ46" s="424">
        <f>SUM($K46,$M46,$O46,$Q46,$S46,$U46,$W46,$Y46,$AA46,$AC46,$AE46,$AG46)</f>
        <v>11300000</v>
      </c>
      <c r="BA46" s="425">
        <f>SUM($L46,$N46,$P46,$R46,$T46,$V46,$X46,$Z46,$AB46,$AD46,$AF46,$AH46)</f>
        <v>4427965</v>
      </c>
      <c r="BB46" s="417">
        <f>SUM(AZ46,BA46)</f>
        <v>15727965</v>
      </c>
      <c r="BC46" s="424">
        <f>SUM($M46,$O46,$Q46,$S46,$U46,$W46,$Y46,$AA46,$AC46,$AE46,$AG46)</f>
        <v>11300000</v>
      </c>
      <c r="BD46" s="425">
        <f>SUM($N46,$P46,$R46,$T46,$V46,$X46,$Z46,$AB46,$AD46,$AF46,$AH46)</f>
        <v>3927965</v>
      </c>
      <c r="BE46" s="417">
        <f>SUM(BC46,BD46)</f>
        <v>15227965</v>
      </c>
      <c r="BF46" s="424">
        <f t="shared" si="74"/>
        <v>11300000</v>
      </c>
      <c r="BG46" s="425">
        <f t="shared" si="75"/>
        <v>3387965</v>
      </c>
      <c r="BH46" s="417">
        <f>SUM(BF46,BG46)</f>
        <v>14687965</v>
      </c>
      <c r="BI46" s="424">
        <f t="shared" si="76"/>
        <v>11300000</v>
      </c>
      <c r="BJ46" s="425">
        <f t="shared" si="77"/>
        <v>2852961</v>
      </c>
      <c r="BK46" s="417">
        <f>SUM(BI46,BJ46)</f>
        <v>14152961</v>
      </c>
      <c r="BL46" s="424">
        <f t="shared" si="78"/>
        <v>11300000</v>
      </c>
      <c r="BM46" s="425">
        <f t="shared" si="79"/>
        <v>2317957</v>
      </c>
      <c r="BN46" s="417">
        <f t="shared" ref="BN46:BN50" si="121">SUM(BL46,BM46)</f>
        <v>13617957</v>
      </c>
      <c r="BO46" s="424">
        <f t="shared" si="80"/>
        <v>11300000</v>
      </c>
      <c r="BP46" s="425">
        <f t="shared" si="81"/>
        <v>1782953</v>
      </c>
      <c r="BQ46" s="417">
        <f t="shared" ref="BQ46:BQ51" si="122">SUM(BO46,BP46)</f>
        <v>13082953</v>
      </c>
      <c r="BR46" s="424">
        <f t="shared" si="82"/>
        <v>11300000</v>
      </c>
      <c r="BS46" s="425">
        <f t="shared" si="83"/>
        <v>1247949</v>
      </c>
      <c r="BT46" s="417">
        <f t="shared" ref="BT46:BT52" si="123">SUM(BR46,BS46)</f>
        <v>12547949</v>
      </c>
      <c r="BU46" s="424">
        <f t="shared" si="84"/>
        <v>10000000</v>
      </c>
      <c r="BV46" s="425">
        <f t="shared" si="85"/>
        <v>718074</v>
      </c>
      <c r="BW46" s="417">
        <f t="shared" ref="BW46:BW53" si="124">SUM(BU46,BV46)</f>
        <v>10718074</v>
      </c>
      <c r="BX46" s="424">
        <f t="shared" si="86"/>
        <v>6000000</v>
      </c>
      <c r="BY46" s="425">
        <f t="shared" si="87"/>
        <v>260401</v>
      </c>
      <c r="BZ46" s="417">
        <f t="shared" si="88"/>
        <v>6260401</v>
      </c>
      <c r="CA46" s="424">
        <f t="shared" si="89"/>
        <v>0</v>
      </c>
      <c r="CB46" s="425">
        <f t="shared" si="90"/>
        <v>0</v>
      </c>
      <c r="CC46" s="417">
        <f t="shared" si="91"/>
        <v>0</v>
      </c>
      <c r="CD46" s="424">
        <f t="shared" si="92"/>
        <v>0</v>
      </c>
      <c r="CE46" s="425">
        <f t="shared" si="93"/>
        <v>0</v>
      </c>
      <c r="CF46" s="417">
        <f t="shared" si="94"/>
        <v>0</v>
      </c>
      <c r="CG46" s="424">
        <f t="shared" si="95"/>
        <v>0</v>
      </c>
      <c r="CH46" s="425">
        <f t="shared" si="96"/>
        <v>0</v>
      </c>
      <c r="CI46" s="417">
        <f t="shared" si="97"/>
        <v>0</v>
      </c>
      <c r="CJ46" s="424">
        <f t="shared" si="98"/>
        <v>0</v>
      </c>
      <c r="CK46" s="425">
        <f t="shared" si="99"/>
        <v>0</v>
      </c>
      <c r="CL46" s="417">
        <f t="shared" ref="CL46:CL57" si="125">SUM(CJ46,CK46)</f>
        <v>0</v>
      </c>
      <c r="CM46" s="424">
        <f t="shared" si="101"/>
        <v>0</v>
      </c>
      <c r="CN46" s="425">
        <f t="shared" si="102"/>
        <v>0</v>
      </c>
      <c r="CO46" s="417">
        <f t="shared" ref="CO46:CO57" si="126">SUM(CM46,CN46)</f>
        <v>0</v>
      </c>
      <c r="CP46" s="424">
        <f t="shared" si="104"/>
        <v>0</v>
      </c>
      <c r="CQ46" s="425">
        <f t="shared" si="105"/>
        <v>0</v>
      </c>
      <c r="CR46" s="417">
        <f t="shared" ref="CR46:CR57" si="127">SUM(CP46,CQ46)</f>
        <v>0</v>
      </c>
      <c r="CS46" s="424">
        <f t="shared" si="107"/>
        <v>0</v>
      </c>
      <c r="CT46" s="425">
        <f t="shared" si="108"/>
        <v>0</v>
      </c>
      <c r="CU46" s="417">
        <f t="shared" ref="CU46:CU57" si="128">SUM(CS46,CT46)</f>
        <v>0</v>
      </c>
      <c r="CV46" s="424">
        <f t="shared" si="110"/>
        <v>0</v>
      </c>
      <c r="CW46" s="425">
        <f t="shared" si="111"/>
        <v>0</v>
      </c>
      <c r="CX46" s="417">
        <f t="shared" ref="CX46:CX57" si="129">SUM(CV46,CW46)</f>
        <v>0</v>
      </c>
    </row>
    <row r="47" spans="1:102">
      <c r="A47" s="430" t="str">
        <f>'HSZ do groszy'!A47</f>
        <v>Obligacje 2014</v>
      </c>
      <c r="B47" s="429" t="e">
        <f>ROUNDUP('HSZ do groszy'!B47,0)</f>
        <v>#VALUE!</v>
      </c>
      <c r="C47" s="416">
        <f>ROUNDUP('HSZ do groszy'!C47,0)</f>
        <v>0</v>
      </c>
      <c r="D47" s="417">
        <f>ROUNDUP('HSZ do groszy'!D47,0)</f>
        <v>0</v>
      </c>
      <c r="E47" s="582">
        <f t="shared" si="71"/>
        <v>8000000</v>
      </c>
      <c r="F47" s="418">
        <f t="shared" ref="F47:F57" si="130">H47+J47+L47+N47+P47+R47+T47+V47+X47+Z47+AB47+AD47+AF47+AH47</f>
        <v>5554735</v>
      </c>
      <c r="G47" s="416">
        <f>ROUNDUP('HSZ do groszy'!G47,0)</f>
        <v>0</v>
      </c>
      <c r="H47" s="417">
        <f>ROUNDUP('HSZ do groszy'!H47,0)</f>
        <v>0</v>
      </c>
      <c r="I47" s="416">
        <f>ROUNDUP('HSZ do groszy'!I47,0)</f>
        <v>0</v>
      </c>
      <c r="J47" s="417">
        <f>ROUNDUP('HSZ do groszy'!J47,0)</f>
        <v>0</v>
      </c>
      <c r="K47" s="419">
        <f>ROUNDUP('HSZ do groszy'!K47,0)</f>
        <v>0</v>
      </c>
      <c r="L47" s="420">
        <f>ROUNDUP('HSZ do groszy'!L47,0)</f>
        <v>0</v>
      </c>
      <c r="M47" s="416">
        <f>ROUNDUP('HSZ do groszy'!M47,0)</f>
        <v>0</v>
      </c>
      <c r="N47" s="417">
        <f>ROUNDUP('HSZ do groszy'!N47,0)</f>
        <v>597819</v>
      </c>
      <c r="O47" s="419">
        <f>ROUNDUP('HSZ do groszy'!O47,0)</f>
        <v>0</v>
      </c>
      <c r="P47" s="420">
        <f>ROUNDUP('HSZ do groszy'!P47,0)</f>
        <v>597819</v>
      </c>
      <c r="Q47" s="416">
        <f>ROUNDUP('HSZ do groszy'!Q47,0)</f>
        <v>0</v>
      </c>
      <c r="R47" s="417">
        <f>ROUNDUP('HSZ do groszy'!R47,0)</f>
        <v>597819</v>
      </c>
      <c r="S47" s="419">
        <f>ROUNDUP('HSZ do groszy'!S47,0)</f>
        <v>0</v>
      </c>
      <c r="T47" s="420">
        <f>ROUNDUP('HSZ do groszy'!T47,0)</f>
        <v>597819</v>
      </c>
      <c r="U47" s="416">
        <f>ROUNDUP('HSZ do groszy'!U47,0)</f>
        <v>0</v>
      </c>
      <c r="V47" s="417">
        <f>ROUNDUP('HSZ do groszy'!V47,0)</f>
        <v>597819</v>
      </c>
      <c r="W47" s="419">
        <f>ROUNDUP('HSZ do groszy'!W47,0)</f>
        <v>0</v>
      </c>
      <c r="X47" s="420">
        <f>ROUNDUP('HSZ do groszy'!X47,0)</f>
        <v>597819</v>
      </c>
      <c r="Y47" s="416">
        <f>ROUNDUP('HSZ do groszy'!Y47,0)</f>
        <v>0</v>
      </c>
      <c r="Z47" s="417">
        <f>ROUNDUP('HSZ do groszy'!Z47,0)</f>
        <v>597819</v>
      </c>
      <c r="AA47" s="419">
        <f>ROUNDUP('HSZ do groszy'!AA47,0)</f>
        <v>0</v>
      </c>
      <c r="AB47" s="420">
        <f>ROUNDUP('HSZ do groszy'!AB47,0)</f>
        <v>597819</v>
      </c>
      <c r="AC47" s="416">
        <f>ROUNDUP('HSZ do groszy'!AC47,0)</f>
        <v>5000000</v>
      </c>
      <c r="AD47" s="417">
        <f>ROUNDUP('HSZ do groszy'!AD47,0)</f>
        <v>566682</v>
      </c>
      <c r="AE47" s="419">
        <f>ROUNDUP('HSZ do groszy'!AE47,0)</f>
        <v>3000000</v>
      </c>
      <c r="AF47" s="417">
        <f>ROUNDUP('HSZ do groszy'!AF47,0)</f>
        <v>205501</v>
      </c>
      <c r="AG47" s="419">
        <f>ROUNDUP('HSZ do groszy'!AG47,0)</f>
        <v>0</v>
      </c>
      <c r="AH47" s="421">
        <f>ROUNDUP('HSZ do groszy'!AH47,0)</f>
        <v>0</v>
      </c>
      <c r="AI47" s="419">
        <f>ROUNDUP('HSZ do groszy'!AI47,0)</f>
        <v>0</v>
      </c>
      <c r="AJ47" s="421">
        <f>ROUNDUP('HSZ do groszy'!AJ47,0)</f>
        <v>0</v>
      </c>
      <c r="AK47" s="419">
        <f>ROUNDUP('HSZ do groszy'!AK47,0)</f>
        <v>0</v>
      </c>
      <c r="AL47" s="421">
        <f>ROUNDUP('HSZ do groszy'!AL47,0)</f>
        <v>0</v>
      </c>
      <c r="AM47" s="419">
        <f>ROUNDUP('HSZ do groszy'!AM47,0)</f>
        <v>0</v>
      </c>
      <c r="AN47" s="421">
        <f>ROUNDUP('HSZ do groszy'!AN47,0)</f>
        <v>0</v>
      </c>
      <c r="AO47" s="419">
        <f>ROUNDUP('HSZ do groszy'!AO47,0)</f>
        <v>0</v>
      </c>
      <c r="AP47" s="421">
        <f>ROUNDUP('HSZ do groszy'!AP47,0)</f>
        <v>0</v>
      </c>
      <c r="AQ47" s="419">
        <f>ROUNDUP('HSZ do groszy'!AQ47,0)</f>
        <v>0</v>
      </c>
      <c r="AR47" s="421">
        <f>ROUNDUP('HSZ do groszy'!AR47,0)</f>
        <v>0</v>
      </c>
      <c r="AS47" s="192"/>
      <c r="AT47" s="192"/>
      <c r="AU47" s="422" t="str">
        <f t="shared" si="120"/>
        <v>Obligacje 2014</v>
      </c>
      <c r="AV47" s="423"/>
      <c r="AW47" s="424"/>
      <c r="AX47" s="425"/>
      <c r="AY47" s="417"/>
      <c r="AZ47" s="424"/>
      <c r="BA47" s="425"/>
      <c r="BB47" s="417"/>
      <c r="BC47" s="424">
        <f>SUM($M47,$O47,$Q47,$S47,$U47,$W47,$Y47,$AA47,$AC47,$AE47,$AG47)</f>
        <v>8000000</v>
      </c>
      <c r="BD47" s="425">
        <f>SUM($N47,$P47,$R47,$T47,$V47,$X47,$Z47,$AB47,$AD47,$AF47,$AH47)</f>
        <v>5554735</v>
      </c>
      <c r="BE47" s="417">
        <f>SUM(BC47,BD47)</f>
        <v>13554735</v>
      </c>
      <c r="BF47" s="424">
        <f t="shared" si="74"/>
        <v>8000000</v>
      </c>
      <c r="BG47" s="425">
        <f t="shared" si="75"/>
        <v>4956916</v>
      </c>
      <c r="BH47" s="417">
        <f>SUM(BF47,BG47)</f>
        <v>12956916</v>
      </c>
      <c r="BI47" s="424">
        <f t="shared" si="76"/>
        <v>8000000</v>
      </c>
      <c r="BJ47" s="425">
        <f t="shared" si="77"/>
        <v>4359097</v>
      </c>
      <c r="BK47" s="417">
        <f>SUM(BI47,BJ47)</f>
        <v>12359097</v>
      </c>
      <c r="BL47" s="424">
        <f t="shared" si="78"/>
        <v>8000000</v>
      </c>
      <c r="BM47" s="425">
        <f t="shared" si="79"/>
        <v>3761278</v>
      </c>
      <c r="BN47" s="417">
        <f t="shared" si="121"/>
        <v>11761278</v>
      </c>
      <c r="BO47" s="424">
        <f t="shared" si="80"/>
        <v>8000000</v>
      </c>
      <c r="BP47" s="425">
        <f t="shared" si="81"/>
        <v>3163459</v>
      </c>
      <c r="BQ47" s="417">
        <f t="shared" si="122"/>
        <v>11163459</v>
      </c>
      <c r="BR47" s="424">
        <f t="shared" si="82"/>
        <v>8000000</v>
      </c>
      <c r="BS47" s="425">
        <f t="shared" si="83"/>
        <v>2565640</v>
      </c>
      <c r="BT47" s="417">
        <f t="shared" si="123"/>
        <v>10565640</v>
      </c>
      <c r="BU47" s="424">
        <f t="shared" si="84"/>
        <v>8000000</v>
      </c>
      <c r="BV47" s="425">
        <f t="shared" si="85"/>
        <v>1967821</v>
      </c>
      <c r="BW47" s="417">
        <f t="shared" si="124"/>
        <v>9967821</v>
      </c>
      <c r="BX47" s="424">
        <f t="shared" si="86"/>
        <v>8000000</v>
      </c>
      <c r="BY47" s="425">
        <f t="shared" si="87"/>
        <v>1370002</v>
      </c>
      <c r="BZ47" s="417">
        <f t="shared" si="88"/>
        <v>9370002</v>
      </c>
      <c r="CA47" s="424">
        <f t="shared" si="89"/>
        <v>8000000</v>
      </c>
      <c r="CB47" s="425">
        <f t="shared" si="90"/>
        <v>772183</v>
      </c>
      <c r="CC47" s="417">
        <f t="shared" si="91"/>
        <v>8772183</v>
      </c>
      <c r="CD47" s="424">
        <f t="shared" si="92"/>
        <v>3000000</v>
      </c>
      <c r="CE47" s="425">
        <f t="shared" si="93"/>
        <v>205501</v>
      </c>
      <c r="CF47" s="417">
        <f t="shared" si="94"/>
        <v>3205501</v>
      </c>
      <c r="CG47" s="424">
        <f t="shared" si="95"/>
        <v>0</v>
      </c>
      <c r="CH47" s="425">
        <f t="shared" si="96"/>
        <v>0</v>
      </c>
      <c r="CI47" s="417">
        <f t="shared" si="97"/>
        <v>0</v>
      </c>
      <c r="CJ47" s="424">
        <f t="shared" si="98"/>
        <v>0</v>
      </c>
      <c r="CK47" s="425">
        <f t="shared" si="99"/>
        <v>0</v>
      </c>
      <c r="CL47" s="417">
        <f t="shared" si="125"/>
        <v>0</v>
      </c>
      <c r="CM47" s="424">
        <f t="shared" si="101"/>
        <v>0</v>
      </c>
      <c r="CN47" s="425">
        <f t="shared" si="102"/>
        <v>0</v>
      </c>
      <c r="CO47" s="417">
        <f t="shared" si="126"/>
        <v>0</v>
      </c>
      <c r="CP47" s="424">
        <f t="shared" si="104"/>
        <v>0</v>
      </c>
      <c r="CQ47" s="425">
        <f t="shared" si="105"/>
        <v>0</v>
      </c>
      <c r="CR47" s="417">
        <f t="shared" si="127"/>
        <v>0</v>
      </c>
      <c r="CS47" s="424">
        <f t="shared" si="107"/>
        <v>0</v>
      </c>
      <c r="CT47" s="425">
        <f t="shared" si="108"/>
        <v>0</v>
      </c>
      <c r="CU47" s="417">
        <f t="shared" si="128"/>
        <v>0</v>
      </c>
      <c r="CV47" s="424">
        <f t="shared" si="110"/>
        <v>0</v>
      </c>
      <c r="CW47" s="425">
        <f t="shared" si="111"/>
        <v>0</v>
      </c>
      <c r="CX47" s="417">
        <f t="shared" si="129"/>
        <v>0</v>
      </c>
    </row>
    <row r="48" spans="1:102">
      <c r="A48" s="430" t="str">
        <f>'HSZ do groszy'!A48</f>
        <v>Obligacje 2015</v>
      </c>
      <c r="B48" s="429" t="e">
        <f>ROUNDUP('HSZ do groszy'!B48,0)</f>
        <v>#VALUE!</v>
      </c>
      <c r="C48" s="416">
        <f>ROUNDUP('HSZ do groszy'!C48,0)</f>
        <v>0</v>
      </c>
      <c r="D48" s="417">
        <f>ROUNDUP('HSZ do groszy'!D48,0)</f>
        <v>0</v>
      </c>
      <c r="E48" s="582">
        <f t="shared" si="71"/>
        <v>1000000</v>
      </c>
      <c r="F48" s="418">
        <f t="shared" si="130"/>
        <v>232784</v>
      </c>
      <c r="G48" s="416">
        <f>ROUNDUP('HSZ do groszy'!G48,0)</f>
        <v>0</v>
      </c>
      <c r="H48" s="417">
        <f>ROUNDUP('HSZ do groszy'!H48,0)</f>
        <v>0</v>
      </c>
      <c r="I48" s="416">
        <f>ROUNDUP('HSZ do groszy'!I48,0)</f>
        <v>0</v>
      </c>
      <c r="J48" s="417">
        <f>ROUNDUP('HSZ do groszy'!J48,0)</f>
        <v>0</v>
      </c>
      <c r="K48" s="419">
        <f>ROUNDUP('HSZ do groszy'!K48,0)</f>
        <v>0</v>
      </c>
      <c r="L48" s="420">
        <f>ROUNDUP('HSZ do groszy'!L48,0)</f>
        <v>0</v>
      </c>
      <c r="M48" s="416">
        <f>ROUNDUP('HSZ do groszy'!M48,0)</f>
        <v>0</v>
      </c>
      <c r="N48" s="417">
        <f>ROUNDUP('HSZ do groszy'!N48,0)</f>
        <v>0</v>
      </c>
      <c r="O48" s="419">
        <f>ROUNDUP('HSZ do groszy'!O48,0)</f>
        <v>0</v>
      </c>
      <c r="P48" s="420">
        <f>ROUNDUP('HSZ do groszy'!P48,0)</f>
        <v>47346</v>
      </c>
      <c r="Q48" s="416">
        <f>ROUNDUP('HSZ do groszy'!Q48,0)</f>
        <v>0</v>
      </c>
      <c r="R48" s="417">
        <f>ROUNDUP('HSZ do groszy'!R48,0)</f>
        <v>47346</v>
      </c>
      <c r="S48" s="419">
        <f>ROUNDUP('HSZ do groszy'!S48,0)</f>
        <v>0</v>
      </c>
      <c r="T48" s="420">
        <f>ROUNDUP('HSZ do groszy'!T48,0)</f>
        <v>47346</v>
      </c>
      <c r="U48" s="416">
        <f>ROUNDUP('HSZ do groszy'!U48,0)</f>
        <v>0</v>
      </c>
      <c r="V48" s="417">
        <f>ROUNDUP('HSZ do groszy'!V48,0)</f>
        <v>47346</v>
      </c>
      <c r="W48" s="419">
        <f>ROUNDUP('HSZ do groszy'!W48,0)</f>
        <v>1000000</v>
      </c>
      <c r="X48" s="420">
        <f>ROUNDUP('HSZ do groszy'!X48,0)</f>
        <v>43400</v>
      </c>
      <c r="Y48" s="416">
        <f>ROUNDUP('HSZ do groszy'!Y48,0)</f>
        <v>0</v>
      </c>
      <c r="Z48" s="417">
        <f>ROUNDUP('HSZ do groszy'!Z48,0)</f>
        <v>0</v>
      </c>
      <c r="AA48" s="419">
        <f>ROUNDUP('HSZ do groszy'!AA48,0)</f>
        <v>0</v>
      </c>
      <c r="AB48" s="420">
        <f>ROUNDUP('HSZ do groszy'!AB48,0)</f>
        <v>0</v>
      </c>
      <c r="AC48" s="416">
        <f>ROUNDUP('HSZ do groszy'!AC48,0)</f>
        <v>0</v>
      </c>
      <c r="AD48" s="417">
        <f>ROUNDUP('HSZ do groszy'!AD48,0)</f>
        <v>0</v>
      </c>
      <c r="AE48" s="419">
        <f>ROUNDUP('HSZ do groszy'!AE48,0)</f>
        <v>0</v>
      </c>
      <c r="AF48" s="417">
        <f>ROUNDUP('HSZ do groszy'!AF48,0)</f>
        <v>0</v>
      </c>
      <c r="AG48" s="419">
        <f>ROUNDUP('HSZ do groszy'!AG48,0)</f>
        <v>0</v>
      </c>
      <c r="AH48" s="421">
        <f>ROUNDUP('HSZ do groszy'!AH48,0)</f>
        <v>0</v>
      </c>
      <c r="AI48" s="419">
        <f>ROUNDUP('HSZ do groszy'!AI48,0)</f>
        <v>0</v>
      </c>
      <c r="AJ48" s="421">
        <f>ROUNDUP('HSZ do groszy'!AJ48,0)</f>
        <v>0</v>
      </c>
      <c r="AK48" s="419">
        <f>ROUNDUP('HSZ do groszy'!AK48,0)</f>
        <v>0</v>
      </c>
      <c r="AL48" s="421">
        <f>ROUNDUP('HSZ do groszy'!AL48,0)</f>
        <v>0</v>
      </c>
      <c r="AM48" s="419">
        <f>ROUNDUP('HSZ do groszy'!AM48,0)</f>
        <v>0</v>
      </c>
      <c r="AN48" s="421">
        <f>ROUNDUP('HSZ do groszy'!AN48,0)</f>
        <v>0</v>
      </c>
      <c r="AO48" s="419">
        <f>ROUNDUP('HSZ do groszy'!AO48,0)</f>
        <v>0</v>
      </c>
      <c r="AP48" s="421">
        <f>ROUNDUP('HSZ do groszy'!AP48,0)</f>
        <v>0</v>
      </c>
      <c r="AQ48" s="419">
        <f>ROUNDUP('HSZ do groszy'!AQ48,0)</f>
        <v>0</v>
      </c>
      <c r="AR48" s="421">
        <f>ROUNDUP('HSZ do groszy'!AR48,0)</f>
        <v>0</v>
      </c>
      <c r="AS48" s="192"/>
      <c r="AT48" s="192"/>
      <c r="AU48" s="422" t="str">
        <f t="shared" si="120"/>
        <v>Obligacje 2015</v>
      </c>
      <c r="AV48" s="423"/>
      <c r="AW48" s="424"/>
      <c r="AX48" s="425"/>
      <c r="AY48" s="417"/>
      <c r="AZ48" s="424"/>
      <c r="BA48" s="425"/>
      <c r="BB48" s="417"/>
      <c r="BC48" s="424"/>
      <c r="BD48" s="425"/>
      <c r="BE48" s="417"/>
      <c r="BF48" s="424">
        <f t="shared" si="74"/>
        <v>1000000</v>
      </c>
      <c r="BG48" s="425">
        <f t="shared" si="75"/>
        <v>232784</v>
      </c>
      <c r="BH48" s="417">
        <f>SUM(BF48,BG48)</f>
        <v>1232784</v>
      </c>
      <c r="BI48" s="424">
        <f t="shared" si="76"/>
        <v>1000000</v>
      </c>
      <c r="BJ48" s="425">
        <f t="shared" si="77"/>
        <v>185438</v>
      </c>
      <c r="BK48" s="417">
        <f>SUM(BI48,BJ48)</f>
        <v>1185438</v>
      </c>
      <c r="BL48" s="424">
        <f t="shared" si="78"/>
        <v>1000000</v>
      </c>
      <c r="BM48" s="425">
        <f t="shared" si="79"/>
        <v>138092</v>
      </c>
      <c r="BN48" s="417">
        <f t="shared" si="121"/>
        <v>1138092</v>
      </c>
      <c r="BO48" s="424">
        <f t="shared" si="80"/>
        <v>1000000</v>
      </c>
      <c r="BP48" s="425">
        <f t="shared" si="81"/>
        <v>90746</v>
      </c>
      <c r="BQ48" s="417">
        <f t="shared" si="122"/>
        <v>1090746</v>
      </c>
      <c r="BR48" s="424">
        <f t="shared" si="82"/>
        <v>1000000</v>
      </c>
      <c r="BS48" s="425">
        <f t="shared" si="83"/>
        <v>43400</v>
      </c>
      <c r="BT48" s="417">
        <f t="shared" si="123"/>
        <v>1043400</v>
      </c>
      <c r="BU48" s="424">
        <f t="shared" si="84"/>
        <v>0</v>
      </c>
      <c r="BV48" s="425">
        <f t="shared" si="85"/>
        <v>0</v>
      </c>
      <c r="BW48" s="417">
        <f t="shared" si="124"/>
        <v>0</v>
      </c>
      <c r="BX48" s="424">
        <f t="shared" si="86"/>
        <v>0</v>
      </c>
      <c r="BY48" s="425">
        <f t="shared" si="87"/>
        <v>0</v>
      </c>
      <c r="BZ48" s="417">
        <f t="shared" si="88"/>
        <v>0</v>
      </c>
      <c r="CA48" s="424">
        <f t="shared" si="89"/>
        <v>0</v>
      </c>
      <c r="CB48" s="425">
        <f t="shared" si="90"/>
        <v>0</v>
      </c>
      <c r="CC48" s="417">
        <f t="shared" si="91"/>
        <v>0</v>
      </c>
      <c r="CD48" s="424">
        <f t="shared" si="92"/>
        <v>0</v>
      </c>
      <c r="CE48" s="425">
        <f t="shared" si="93"/>
        <v>0</v>
      </c>
      <c r="CF48" s="417">
        <f t="shared" si="94"/>
        <v>0</v>
      </c>
      <c r="CG48" s="424">
        <f t="shared" si="95"/>
        <v>0</v>
      </c>
      <c r="CH48" s="425">
        <f t="shared" si="96"/>
        <v>0</v>
      </c>
      <c r="CI48" s="417">
        <f t="shared" si="97"/>
        <v>0</v>
      </c>
      <c r="CJ48" s="424">
        <f t="shared" si="98"/>
        <v>0</v>
      </c>
      <c r="CK48" s="425">
        <f t="shared" si="99"/>
        <v>0</v>
      </c>
      <c r="CL48" s="417">
        <f t="shared" si="125"/>
        <v>0</v>
      </c>
      <c r="CM48" s="424">
        <f t="shared" si="101"/>
        <v>0</v>
      </c>
      <c r="CN48" s="425">
        <f t="shared" si="102"/>
        <v>0</v>
      </c>
      <c r="CO48" s="417">
        <f t="shared" si="126"/>
        <v>0</v>
      </c>
      <c r="CP48" s="424">
        <f t="shared" si="104"/>
        <v>0</v>
      </c>
      <c r="CQ48" s="425">
        <f t="shared" si="105"/>
        <v>0</v>
      </c>
      <c r="CR48" s="417">
        <f t="shared" si="127"/>
        <v>0</v>
      </c>
      <c r="CS48" s="424">
        <f t="shared" si="107"/>
        <v>0</v>
      </c>
      <c r="CT48" s="425">
        <f t="shared" si="108"/>
        <v>0</v>
      </c>
      <c r="CU48" s="417">
        <f t="shared" si="128"/>
        <v>0</v>
      </c>
      <c r="CV48" s="424">
        <f t="shared" si="110"/>
        <v>0</v>
      </c>
      <c r="CW48" s="425">
        <f t="shared" si="111"/>
        <v>0</v>
      </c>
      <c r="CX48" s="417">
        <f t="shared" si="129"/>
        <v>0</v>
      </c>
    </row>
    <row r="49" spans="1:102">
      <c r="A49" s="430" t="str">
        <f>'HSZ do groszy'!A49</f>
        <v>Obligacje 2016</v>
      </c>
      <c r="B49" s="429">
        <f>ROUNDUP('HSZ do groszy'!B49,0)</f>
        <v>0</v>
      </c>
      <c r="C49" s="416">
        <f>ROUNDUP('HSZ do groszy'!C49,0)</f>
        <v>0</v>
      </c>
      <c r="D49" s="417">
        <f>ROUNDUP('HSZ do groszy'!D49,0)</f>
        <v>0</v>
      </c>
      <c r="E49" s="582">
        <f t="shared" si="71"/>
        <v>0</v>
      </c>
      <c r="F49" s="418">
        <f t="shared" si="130"/>
        <v>0</v>
      </c>
      <c r="G49" s="416">
        <f>ROUNDUP('HSZ do groszy'!G49,0)</f>
        <v>0</v>
      </c>
      <c r="H49" s="417">
        <f>ROUNDUP('HSZ do groszy'!H49,0)</f>
        <v>0</v>
      </c>
      <c r="I49" s="416">
        <f>ROUNDUP('HSZ do groszy'!I49,0)</f>
        <v>0</v>
      </c>
      <c r="J49" s="417">
        <f>ROUNDUP('HSZ do groszy'!J49,0)</f>
        <v>0</v>
      </c>
      <c r="K49" s="419">
        <f>ROUNDUP('HSZ do groszy'!K49,0)</f>
        <v>0</v>
      </c>
      <c r="L49" s="420">
        <f>ROUNDUP('HSZ do groszy'!L49,0)</f>
        <v>0</v>
      </c>
      <c r="M49" s="416">
        <f>ROUNDUP('HSZ do groszy'!M49,0)</f>
        <v>0</v>
      </c>
      <c r="N49" s="417">
        <f>ROUNDUP('HSZ do groszy'!N49,0)</f>
        <v>0</v>
      </c>
      <c r="O49" s="419">
        <f>ROUNDUP('HSZ do groszy'!O49,0)</f>
        <v>0</v>
      </c>
      <c r="P49" s="420">
        <f>ROUNDUP('HSZ do groszy'!P49,0)</f>
        <v>0</v>
      </c>
      <c r="Q49" s="416">
        <f>ROUNDUP('HSZ do groszy'!Q49,0)</f>
        <v>0</v>
      </c>
      <c r="R49" s="417">
        <f>ROUNDUP('HSZ do groszy'!R49,0)</f>
        <v>0</v>
      </c>
      <c r="S49" s="419">
        <f>ROUNDUP('HSZ do groszy'!S49,0)</f>
        <v>0</v>
      </c>
      <c r="T49" s="420">
        <f>ROUNDUP('HSZ do groszy'!T49,0)</f>
        <v>0</v>
      </c>
      <c r="U49" s="416">
        <f>ROUNDUP('HSZ do groszy'!U49,0)</f>
        <v>0</v>
      </c>
      <c r="V49" s="417">
        <f>ROUNDUP('HSZ do groszy'!V49,0)</f>
        <v>0</v>
      </c>
      <c r="W49" s="419">
        <f>ROUNDUP('HSZ do groszy'!W49,0)</f>
        <v>0</v>
      </c>
      <c r="X49" s="420">
        <f>ROUNDUP('HSZ do groszy'!X49,0)</f>
        <v>0</v>
      </c>
      <c r="Y49" s="416">
        <f>ROUNDUP('HSZ do groszy'!Y49,0)</f>
        <v>0</v>
      </c>
      <c r="Z49" s="417">
        <f>ROUNDUP('HSZ do groszy'!Z49,0)</f>
        <v>0</v>
      </c>
      <c r="AA49" s="419">
        <f>ROUNDUP('HSZ do groszy'!AA49,0)</f>
        <v>0</v>
      </c>
      <c r="AB49" s="420">
        <f>ROUNDUP('HSZ do groszy'!AB49,0)</f>
        <v>0</v>
      </c>
      <c r="AC49" s="416">
        <f>ROUNDUP('HSZ do groszy'!AC49,0)</f>
        <v>0</v>
      </c>
      <c r="AD49" s="417">
        <f>ROUNDUP('HSZ do groszy'!AD49,0)</f>
        <v>0</v>
      </c>
      <c r="AE49" s="419">
        <f>ROUNDUP('HSZ do groszy'!AE49,0)</f>
        <v>0</v>
      </c>
      <c r="AF49" s="417">
        <f>ROUNDUP('HSZ do groszy'!AF49,0)</f>
        <v>0</v>
      </c>
      <c r="AG49" s="419">
        <f>ROUNDUP('HSZ do groszy'!AG49,0)</f>
        <v>0</v>
      </c>
      <c r="AH49" s="421">
        <f>ROUNDUP('HSZ do groszy'!AH49,0)</f>
        <v>0</v>
      </c>
      <c r="AI49" s="419">
        <f>ROUNDUP('HSZ do groszy'!AI49,0)</f>
        <v>0</v>
      </c>
      <c r="AJ49" s="421">
        <f>ROUNDUP('HSZ do groszy'!AJ49,0)</f>
        <v>0</v>
      </c>
      <c r="AK49" s="419">
        <f>ROUNDUP('HSZ do groszy'!AK49,0)</f>
        <v>0</v>
      </c>
      <c r="AL49" s="421">
        <f>ROUNDUP('HSZ do groszy'!AL49,0)</f>
        <v>0</v>
      </c>
      <c r="AM49" s="419">
        <f>ROUNDUP('HSZ do groszy'!AM49,0)</f>
        <v>0</v>
      </c>
      <c r="AN49" s="421">
        <f>ROUNDUP('HSZ do groszy'!AN49,0)</f>
        <v>0</v>
      </c>
      <c r="AO49" s="419">
        <f>ROUNDUP('HSZ do groszy'!AO49,0)</f>
        <v>0</v>
      </c>
      <c r="AP49" s="421">
        <f>ROUNDUP('HSZ do groszy'!AP49,0)</f>
        <v>0</v>
      </c>
      <c r="AQ49" s="419">
        <f>ROUNDUP('HSZ do groszy'!AQ49,0)</f>
        <v>0</v>
      </c>
      <c r="AR49" s="421">
        <f>ROUNDUP('HSZ do groszy'!AR49,0)</f>
        <v>0</v>
      </c>
      <c r="AS49" s="192"/>
      <c r="AT49" s="192"/>
      <c r="AU49" s="422" t="str">
        <f t="shared" si="120"/>
        <v>Obligacje 2016</v>
      </c>
      <c r="AV49" s="423"/>
      <c r="AW49" s="424"/>
      <c r="AX49" s="425"/>
      <c r="AY49" s="417"/>
      <c r="AZ49" s="424"/>
      <c r="BA49" s="425"/>
      <c r="BB49" s="417"/>
      <c r="BC49" s="424"/>
      <c r="BD49" s="425"/>
      <c r="BE49" s="417"/>
      <c r="BF49" s="424"/>
      <c r="BG49" s="425"/>
      <c r="BH49" s="417"/>
      <c r="BI49" s="424">
        <f t="shared" si="76"/>
        <v>0</v>
      </c>
      <c r="BJ49" s="425">
        <f t="shared" si="77"/>
        <v>0</v>
      </c>
      <c r="BK49" s="417">
        <f>SUM(BI49,BJ49)</f>
        <v>0</v>
      </c>
      <c r="BL49" s="424">
        <f t="shared" si="78"/>
        <v>0</v>
      </c>
      <c r="BM49" s="425">
        <f t="shared" si="79"/>
        <v>0</v>
      </c>
      <c r="BN49" s="417">
        <f t="shared" si="121"/>
        <v>0</v>
      </c>
      <c r="BO49" s="424">
        <f t="shared" si="80"/>
        <v>0</v>
      </c>
      <c r="BP49" s="425">
        <f t="shared" si="81"/>
        <v>0</v>
      </c>
      <c r="BQ49" s="417">
        <f t="shared" si="122"/>
        <v>0</v>
      </c>
      <c r="BR49" s="424">
        <f t="shared" si="82"/>
        <v>0</v>
      </c>
      <c r="BS49" s="425">
        <f t="shared" si="83"/>
        <v>0</v>
      </c>
      <c r="BT49" s="417">
        <f t="shared" si="123"/>
        <v>0</v>
      </c>
      <c r="BU49" s="424">
        <f t="shared" si="84"/>
        <v>0</v>
      </c>
      <c r="BV49" s="425">
        <f t="shared" si="85"/>
        <v>0</v>
      </c>
      <c r="BW49" s="417">
        <f t="shared" si="124"/>
        <v>0</v>
      </c>
      <c r="BX49" s="424">
        <f t="shared" si="86"/>
        <v>0</v>
      </c>
      <c r="BY49" s="425">
        <f t="shared" si="87"/>
        <v>0</v>
      </c>
      <c r="BZ49" s="417">
        <f t="shared" si="88"/>
        <v>0</v>
      </c>
      <c r="CA49" s="424">
        <f t="shared" si="89"/>
        <v>0</v>
      </c>
      <c r="CB49" s="425">
        <f t="shared" si="90"/>
        <v>0</v>
      </c>
      <c r="CC49" s="417">
        <f t="shared" si="91"/>
        <v>0</v>
      </c>
      <c r="CD49" s="424">
        <f t="shared" si="92"/>
        <v>0</v>
      </c>
      <c r="CE49" s="425">
        <f t="shared" si="93"/>
        <v>0</v>
      </c>
      <c r="CF49" s="417">
        <f t="shared" si="94"/>
        <v>0</v>
      </c>
      <c r="CG49" s="424">
        <f t="shared" si="95"/>
        <v>0</v>
      </c>
      <c r="CH49" s="425">
        <f t="shared" si="96"/>
        <v>0</v>
      </c>
      <c r="CI49" s="417">
        <f t="shared" si="97"/>
        <v>0</v>
      </c>
      <c r="CJ49" s="424">
        <f t="shared" si="98"/>
        <v>0</v>
      </c>
      <c r="CK49" s="425">
        <f t="shared" si="99"/>
        <v>0</v>
      </c>
      <c r="CL49" s="417">
        <f t="shared" si="125"/>
        <v>0</v>
      </c>
      <c r="CM49" s="424">
        <f t="shared" si="101"/>
        <v>0</v>
      </c>
      <c r="CN49" s="425">
        <f t="shared" si="102"/>
        <v>0</v>
      </c>
      <c r="CO49" s="417">
        <f t="shared" si="126"/>
        <v>0</v>
      </c>
      <c r="CP49" s="424">
        <f t="shared" si="104"/>
        <v>0</v>
      </c>
      <c r="CQ49" s="425">
        <f t="shared" si="105"/>
        <v>0</v>
      </c>
      <c r="CR49" s="417">
        <f t="shared" si="127"/>
        <v>0</v>
      </c>
      <c r="CS49" s="424">
        <f t="shared" si="107"/>
        <v>0</v>
      </c>
      <c r="CT49" s="425">
        <f t="shared" si="108"/>
        <v>0</v>
      </c>
      <c r="CU49" s="417">
        <f t="shared" si="128"/>
        <v>0</v>
      </c>
      <c r="CV49" s="424">
        <f t="shared" si="110"/>
        <v>0</v>
      </c>
      <c r="CW49" s="425">
        <f t="shared" si="111"/>
        <v>0</v>
      </c>
      <c r="CX49" s="417">
        <f t="shared" si="129"/>
        <v>0</v>
      </c>
    </row>
    <row r="50" spans="1:102">
      <c r="A50" s="430" t="str">
        <f>'HSZ do groszy'!A50</f>
        <v>Obligacje 2017</v>
      </c>
      <c r="B50" s="429">
        <f>ROUNDUP('HSZ do groszy'!B50,0)</f>
        <v>0</v>
      </c>
      <c r="C50" s="416">
        <f>ROUNDUP('HSZ do groszy'!C50,0)</f>
        <v>0</v>
      </c>
      <c r="D50" s="417">
        <f>ROUNDUP('HSZ do groszy'!D50,0)</f>
        <v>0</v>
      </c>
      <c r="E50" s="582">
        <f t="shared" si="71"/>
        <v>0</v>
      </c>
      <c r="F50" s="418">
        <f t="shared" si="130"/>
        <v>0</v>
      </c>
      <c r="G50" s="416">
        <f>ROUNDUP('HSZ do groszy'!G50,0)</f>
        <v>0</v>
      </c>
      <c r="H50" s="417">
        <f>ROUNDUP('HSZ do groszy'!H50,0)</f>
        <v>0</v>
      </c>
      <c r="I50" s="416">
        <f>ROUNDUP('HSZ do groszy'!I50,0)</f>
        <v>0</v>
      </c>
      <c r="J50" s="417">
        <f>ROUNDUP('HSZ do groszy'!J50,0)</f>
        <v>0</v>
      </c>
      <c r="K50" s="419">
        <f>ROUNDUP('HSZ do groszy'!K50,0)</f>
        <v>0</v>
      </c>
      <c r="L50" s="420">
        <f>ROUNDUP('HSZ do groszy'!L50,0)</f>
        <v>0</v>
      </c>
      <c r="M50" s="416">
        <f>ROUNDUP('HSZ do groszy'!M50,0)</f>
        <v>0</v>
      </c>
      <c r="N50" s="417">
        <f>ROUNDUP('HSZ do groszy'!N50,0)</f>
        <v>0</v>
      </c>
      <c r="O50" s="419">
        <f>ROUNDUP('HSZ do groszy'!O50,0)</f>
        <v>0</v>
      </c>
      <c r="P50" s="420">
        <f>ROUNDUP('HSZ do groszy'!P50,0)</f>
        <v>0</v>
      </c>
      <c r="Q50" s="416">
        <f>ROUNDUP('HSZ do groszy'!Q50,0)</f>
        <v>0</v>
      </c>
      <c r="R50" s="417">
        <f>ROUNDUP('HSZ do groszy'!R50,0)</f>
        <v>0</v>
      </c>
      <c r="S50" s="419">
        <f>ROUNDUP('HSZ do groszy'!S50,0)</f>
        <v>0</v>
      </c>
      <c r="T50" s="420">
        <f>ROUNDUP('HSZ do groszy'!T50,0)</f>
        <v>0</v>
      </c>
      <c r="U50" s="416">
        <f>ROUNDUP('HSZ do groszy'!U50,0)</f>
        <v>0</v>
      </c>
      <c r="V50" s="417">
        <f>ROUNDUP('HSZ do groszy'!V50,0)</f>
        <v>0</v>
      </c>
      <c r="W50" s="419">
        <f>ROUNDUP('HSZ do groszy'!W50,0)</f>
        <v>0</v>
      </c>
      <c r="X50" s="420">
        <f>ROUNDUP('HSZ do groszy'!X50,0)</f>
        <v>0</v>
      </c>
      <c r="Y50" s="416">
        <f>ROUNDUP('HSZ do groszy'!Y50,0)</f>
        <v>0</v>
      </c>
      <c r="Z50" s="417">
        <f>ROUNDUP('HSZ do groszy'!Z50,0)</f>
        <v>0</v>
      </c>
      <c r="AA50" s="419">
        <f>ROUNDUP('HSZ do groszy'!AA50,0)</f>
        <v>0</v>
      </c>
      <c r="AB50" s="420">
        <f>ROUNDUP('HSZ do groszy'!AB50,0)</f>
        <v>0</v>
      </c>
      <c r="AC50" s="416">
        <f>ROUNDUP('HSZ do groszy'!AC50,0)</f>
        <v>0</v>
      </c>
      <c r="AD50" s="417">
        <f>ROUNDUP('HSZ do groszy'!AD50,0)</f>
        <v>0</v>
      </c>
      <c r="AE50" s="419">
        <f>ROUNDUP('HSZ do groszy'!AE50,0)</f>
        <v>0</v>
      </c>
      <c r="AF50" s="417">
        <f>ROUNDUP('HSZ do groszy'!AF50,0)</f>
        <v>0</v>
      </c>
      <c r="AG50" s="419">
        <f>ROUNDUP('HSZ do groszy'!AG50,0)</f>
        <v>0</v>
      </c>
      <c r="AH50" s="421">
        <f>ROUNDUP('HSZ do groszy'!AH50,0)</f>
        <v>0</v>
      </c>
      <c r="AI50" s="419">
        <f>ROUNDUP('HSZ do groszy'!AI50,0)</f>
        <v>0</v>
      </c>
      <c r="AJ50" s="421">
        <f>ROUNDUP('HSZ do groszy'!AJ50,0)</f>
        <v>0</v>
      </c>
      <c r="AK50" s="419">
        <f>ROUNDUP('HSZ do groszy'!AK50,0)</f>
        <v>0</v>
      </c>
      <c r="AL50" s="421">
        <f>ROUNDUP('HSZ do groszy'!AL50,0)</f>
        <v>0</v>
      </c>
      <c r="AM50" s="419">
        <f>ROUNDUP('HSZ do groszy'!AM50,0)</f>
        <v>0</v>
      </c>
      <c r="AN50" s="421">
        <f>ROUNDUP('HSZ do groszy'!AN50,0)</f>
        <v>0</v>
      </c>
      <c r="AO50" s="419">
        <f>ROUNDUP('HSZ do groszy'!AO50,0)</f>
        <v>0</v>
      </c>
      <c r="AP50" s="421">
        <f>ROUNDUP('HSZ do groszy'!AP50,0)</f>
        <v>0</v>
      </c>
      <c r="AQ50" s="419">
        <f>ROUNDUP('HSZ do groszy'!AQ50,0)</f>
        <v>0</v>
      </c>
      <c r="AR50" s="421">
        <f>ROUNDUP('HSZ do groszy'!AR50,0)</f>
        <v>0</v>
      </c>
      <c r="AS50" s="192"/>
      <c r="AT50" s="192"/>
      <c r="AU50" s="422" t="str">
        <f t="shared" si="120"/>
        <v>Obligacje 2017</v>
      </c>
      <c r="AV50" s="423"/>
      <c r="AW50" s="424"/>
      <c r="AX50" s="425"/>
      <c r="AY50" s="417"/>
      <c r="AZ50" s="424"/>
      <c r="BA50" s="425"/>
      <c r="BB50" s="417"/>
      <c r="BC50" s="424"/>
      <c r="BD50" s="425"/>
      <c r="BE50" s="417"/>
      <c r="BF50" s="424"/>
      <c r="BG50" s="425"/>
      <c r="BH50" s="417"/>
      <c r="BI50" s="424"/>
      <c r="BJ50" s="425"/>
      <c r="BK50" s="417"/>
      <c r="BL50" s="424">
        <f t="shared" si="78"/>
        <v>0</v>
      </c>
      <c r="BM50" s="425">
        <f t="shared" si="79"/>
        <v>0</v>
      </c>
      <c r="BN50" s="417">
        <f t="shared" si="121"/>
        <v>0</v>
      </c>
      <c r="BO50" s="424">
        <f t="shared" si="80"/>
        <v>0</v>
      </c>
      <c r="BP50" s="425">
        <f t="shared" si="81"/>
        <v>0</v>
      </c>
      <c r="BQ50" s="417">
        <f t="shared" si="122"/>
        <v>0</v>
      </c>
      <c r="BR50" s="424">
        <f t="shared" si="82"/>
        <v>0</v>
      </c>
      <c r="BS50" s="425">
        <f t="shared" si="83"/>
        <v>0</v>
      </c>
      <c r="BT50" s="417">
        <f t="shared" si="123"/>
        <v>0</v>
      </c>
      <c r="BU50" s="424">
        <f t="shared" si="84"/>
        <v>0</v>
      </c>
      <c r="BV50" s="425">
        <f t="shared" si="85"/>
        <v>0</v>
      </c>
      <c r="BW50" s="417">
        <f t="shared" si="124"/>
        <v>0</v>
      </c>
      <c r="BX50" s="424">
        <f t="shared" si="86"/>
        <v>0</v>
      </c>
      <c r="BY50" s="425">
        <f t="shared" si="87"/>
        <v>0</v>
      </c>
      <c r="BZ50" s="417">
        <f t="shared" si="88"/>
        <v>0</v>
      </c>
      <c r="CA50" s="424">
        <f t="shared" si="89"/>
        <v>0</v>
      </c>
      <c r="CB50" s="425">
        <f t="shared" si="90"/>
        <v>0</v>
      </c>
      <c r="CC50" s="417">
        <f t="shared" si="91"/>
        <v>0</v>
      </c>
      <c r="CD50" s="424">
        <f t="shared" si="92"/>
        <v>0</v>
      </c>
      <c r="CE50" s="425">
        <f t="shared" si="93"/>
        <v>0</v>
      </c>
      <c r="CF50" s="417">
        <f t="shared" si="94"/>
        <v>0</v>
      </c>
      <c r="CG50" s="424">
        <f t="shared" si="95"/>
        <v>0</v>
      </c>
      <c r="CH50" s="425">
        <f t="shared" si="96"/>
        <v>0</v>
      </c>
      <c r="CI50" s="417">
        <f t="shared" si="97"/>
        <v>0</v>
      </c>
      <c r="CJ50" s="424">
        <f t="shared" si="98"/>
        <v>0</v>
      </c>
      <c r="CK50" s="425">
        <f t="shared" si="99"/>
        <v>0</v>
      </c>
      <c r="CL50" s="417">
        <f t="shared" si="125"/>
        <v>0</v>
      </c>
      <c r="CM50" s="424">
        <f t="shared" si="101"/>
        <v>0</v>
      </c>
      <c r="CN50" s="425">
        <f t="shared" si="102"/>
        <v>0</v>
      </c>
      <c r="CO50" s="417">
        <f t="shared" si="126"/>
        <v>0</v>
      </c>
      <c r="CP50" s="424">
        <f t="shared" si="104"/>
        <v>0</v>
      </c>
      <c r="CQ50" s="425">
        <f t="shared" si="105"/>
        <v>0</v>
      </c>
      <c r="CR50" s="417">
        <f t="shared" si="127"/>
        <v>0</v>
      </c>
      <c r="CS50" s="424">
        <f t="shared" si="107"/>
        <v>0</v>
      </c>
      <c r="CT50" s="425">
        <f t="shared" si="108"/>
        <v>0</v>
      </c>
      <c r="CU50" s="417">
        <f t="shared" si="128"/>
        <v>0</v>
      </c>
      <c r="CV50" s="424">
        <f t="shared" si="110"/>
        <v>0</v>
      </c>
      <c r="CW50" s="425">
        <f t="shared" si="111"/>
        <v>0</v>
      </c>
      <c r="CX50" s="417">
        <f t="shared" si="129"/>
        <v>0</v>
      </c>
    </row>
    <row r="51" spans="1:102">
      <c r="A51" s="430" t="str">
        <f>'HSZ do groszy'!A51</f>
        <v>Obligacje 2018</v>
      </c>
      <c r="B51" s="429">
        <f>ROUNDUP('HSZ do groszy'!B51,0)</f>
        <v>0</v>
      </c>
      <c r="C51" s="416">
        <f>ROUNDUP('HSZ do groszy'!C51,0)</f>
        <v>0</v>
      </c>
      <c r="D51" s="417">
        <f>ROUNDUP('HSZ do groszy'!D51,0)</f>
        <v>0</v>
      </c>
      <c r="E51" s="582">
        <f t="shared" si="71"/>
        <v>0</v>
      </c>
      <c r="F51" s="418">
        <f t="shared" si="130"/>
        <v>0</v>
      </c>
      <c r="G51" s="416">
        <f>ROUNDUP('HSZ do groszy'!G51,0)</f>
        <v>0</v>
      </c>
      <c r="H51" s="417">
        <f>ROUNDUP('HSZ do groszy'!H51,0)</f>
        <v>0</v>
      </c>
      <c r="I51" s="416">
        <f>ROUNDUP('HSZ do groszy'!I51,0)</f>
        <v>0</v>
      </c>
      <c r="J51" s="417">
        <f>ROUNDUP('HSZ do groszy'!J51,0)</f>
        <v>0</v>
      </c>
      <c r="K51" s="419">
        <f>ROUNDUP('HSZ do groszy'!K51,0)</f>
        <v>0</v>
      </c>
      <c r="L51" s="420">
        <f>ROUNDUP('HSZ do groszy'!L51,0)</f>
        <v>0</v>
      </c>
      <c r="M51" s="416">
        <f>ROUNDUP('HSZ do groszy'!M51,0)</f>
        <v>0</v>
      </c>
      <c r="N51" s="417">
        <f>ROUNDUP('HSZ do groszy'!N51,0)</f>
        <v>0</v>
      </c>
      <c r="O51" s="419">
        <f>ROUNDUP('HSZ do groszy'!O51,0)</f>
        <v>0</v>
      </c>
      <c r="P51" s="420">
        <f>ROUNDUP('HSZ do groszy'!P51,0)</f>
        <v>0</v>
      </c>
      <c r="Q51" s="416">
        <f>ROUNDUP('HSZ do groszy'!Q51,0)</f>
        <v>0</v>
      </c>
      <c r="R51" s="417">
        <f>ROUNDUP('HSZ do groszy'!R51,0)</f>
        <v>0</v>
      </c>
      <c r="S51" s="419">
        <f>ROUNDUP('HSZ do groszy'!S51,0)</f>
        <v>0</v>
      </c>
      <c r="T51" s="420">
        <f>ROUNDUP('HSZ do groszy'!T51,0)</f>
        <v>0</v>
      </c>
      <c r="U51" s="416">
        <f>ROUNDUP('HSZ do groszy'!U51,0)</f>
        <v>0</v>
      </c>
      <c r="V51" s="417">
        <f>ROUNDUP('HSZ do groszy'!V51,0)</f>
        <v>0</v>
      </c>
      <c r="W51" s="419">
        <f>ROUNDUP('HSZ do groszy'!W51,0)</f>
        <v>0</v>
      </c>
      <c r="X51" s="420">
        <f>ROUNDUP('HSZ do groszy'!X51,0)</f>
        <v>0</v>
      </c>
      <c r="Y51" s="416">
        <f>ROUNDUP('HSZ do groszy'!Y51,0)</f>
        <v>0</v>
      </c>
      <c r="Z51" s="417">
        <f>ROUNDUP('HSZ do groszy'!Z51,0)</f>
        <v>0</v>
      </c>
      <c r="AA51" s="419">
        <f>ROUNDUP('HSZ do groszy'!AA51,0)</f>
        <v>0</v>
      </c>
      <c r="AB51" s="420">
        <f>ROUNDUP('HSZ do groszy'!AB51,0)</f>
        <v>0</v>
      </c>
      <c r="AC51" s="416">
        <f>ROUNDUP('HSZ do groszy'!AC51,0)</f>
        <v>0</v>
      </c>
      <c r="AD51" s="417">
        <f>ROUNDUP('HSZ do groszy'!AD51,0)</f>
        <v>0</v>
      </c>
      <c r="AE51" s="419">
        <f>ROUNDUP('HSZ do groszy'!AE51,0)</f>
        <v>0</v>
      </c>
      <c r="AF51" s="417">
        <f>ROUNDUP('HSZ do groszy'!AF51,0)</f>
        <v>0</v>
      </c>
      <c r="AG51" s="419">
        <f>ROUNDUP('HSZ do groszy'!AG51,0)</f>
        <v>0</v>
      </c>
      <c r="AH51" s="421">
        <f>ROUNDUP('HSZ do groszy'!AH51,0)</f>
        <v>0</v>
      </c>
      <c r="AI51" s="419">
        <f>ROUNDUP('HSZ do groszy'!AI51,0)</f>
        <v>0</v>
      </c>
      <c r="AJ51" s="421">
        <f>ROUNDUP('HSZ do groszy'!AJ51,0)</f>
        <v>0</v>
      </c>
      <c r="AK51" s="419">
        <f>ROUNDUP('HSZ do groszy'!AK51,0)</f>
        <v>0</v>
      </c>
      <c r="AL51" s="421">
        <f>ROUNDUP('HSZ do groszy'!AL51,0)</f>
        <v>0</v>
      </c>
      <c r="AM51" s="419">
        <f>ROUNDUP('HSZ do groszy'!AM51,0)</f>
        <v>0</v>
      </c>
      <c r="AN51" s="421">
        <f>ROUNDUP('HSZ do groszy'!AN51,0)</f>
        <v>0</v>
      </c>
      <c r="AO51" s="419">
        <f>ROUNDUP('HSZ do groszy'!AO51,0)</f>
        <v>0</v>
      </c>
      <c r="AP51" s="421">
        <f>ROUNDUP('HSZ do groszy'!AP51,0)</f>
        <v>0</v>
      </c>
      <c r="AQ51" s="419">
        <f>ROUNDUP('HSZ do groszy'!AQ51,0)</f>
        <v>0</v>
      </c>
      <c r="AR51" s="421">
        <f>ROUNDUP('HSZ do groszy'!AR51,0)</f>
        <v>0</v>
      </c>
      <c r="AS51" s="192"/>
      <c r="AT51" s="192"/>
      <c r="AU51" s="422" t="str">
        <f t="shared" si="120"/>
        <v>Obligacje 2018</v>
      </c>
      <c r="AV51" s="423"/>
      <c r="AW51" s="424"/>
      <c r="AX51" s="425"/>
      <c r="AY51" s="417"/>
      <c r="AZ51" s="424"/>
      <c r="BA51" s="425"/>
      <c r="BB51" s="417"/>
      <c r="BC51" s="424"/>
      <c r="BD51" s="425"/>
      <c r="BE51" s="417"/>
      <c r="BF51" s="424"/>
      <c r="BG51" s="425"/>
      <c r="BH51" s="417"/>
      <c r="BI51" s="424"/>
      <c r="BJ51" s="425"/>
      <c r="BK51" s="417"/>
      <c r="BL51" s="424"/>
      <c r="BM51" s="425"/>
      <c r="BN51" s="417"/>
      <c r="BO51" s="424">
        <f t="shared" si="80"/>
        <v>0</v>
      </c>
      <c r="BP51" s="425">
        <f t="shared" si="81"/>
        <v>0</v>
      </c>
      <c r="BQ51" s="417">
        <f t="shared" si="122"/>
        <v>0</v>
      </c>
      <c r="BR51" s="424">
        <f t="shared" si="82"/>
        <v>0</v>
      </c>
      <c r="BS51" s="425">
        <f t="shared" si="83"/>
        <v>0</v>
      </c>
      <c r="BT51" s="417">
        <f t="shared" si="123"/>
        <v>0</v>
      </c>
      <c r="BU51" s="424">
        <f t="shared" si="84"/>
        <v>0</v>
      </c>
      <c r="BV51" s="425">
        <f t="shared" si="85"/>
        <v>0</v>
      </c>
      <c r="BW51" s="417">
        <f t="shared" si="124"/>
        <v>0</v>
      </c>
      <c r="BX51" s="424">
        <f t="shared" si="86"/>
        <v>0</v>
      </c>
      <c r="BY51" s="425">
        <f t="shared" si="87"/>
        <v>0</v>
      </c>
      <c r="BZ51" s="417">
        <f t="shared" si="88"/>
        <v>0</v>
      </c>
      <c r="CA51" s="424">
        <f t="shared" si="89"/>
        <v>0</v>
      </c>
      <c r="CB51" s="425">
        <f t="shared" si="90"/>
        <v>0</v>
      </c>
      <c r="CC51" s="417">
        <f t="shared" si="91"/>
        <v>0</v>
      </c>
      <c r="CD51" s="424">
        <f t="shared" si="92"/>
        <v>0</v>
      </c>
      <c r="CE51" s="425">
        <f t="shared" si="93"/>
        <v>0</v>
      </c>
      <c r="CF51" s="417">
        <f t="shared" si="94"/>
        <v>0</v>
      </c>
      <c r="CG51" s="424">
        <f t="shared" si="95"/>
        <v>0</v>
      </c>
      <c r="CH51" s="425">
        <f t="shared" si="96"/>
        <v>0</v>
      </c>
      <c r="CI51" s="417">
        <f t="shared" si="97"/>
        <v>0</v>
      </c>
      <c r="CJ51" s="424">
        <f t="shared" si="98"/>
        <v>0</v>
      </c>
      <c r="CK51" s="425">
        <f t="shared" si="99"/>
        <v>0</v>
      </c>
      <c r="CL51" s="417">
        <f t="shared" si="125"/>
        <v>0</v>
      </c>
      <c r="CM51" s="424">
        <f t="shared" si="101"/>
        <v>0</v>
      </c>
      <c r="CN51" s="425">
        <f t="shared" si="102"/>
        <v>0</v>
      </c>
      <c r="CO51" s="417">
        <f t="shared" si="126"/>
        <v>0</v>
      </c>
      <c r="CP51" s="424">
        <f t="shared" si="104"/>
        <v>0</v>
      </c>
      <c r="CQ51" s="425">
        <f t="shared" si="105"/>
        <v>0</v>
      </c>
      <c r="CR51" s="417">
        <f t="shared" si="127"/>
        <v>0</v>
      </c>
      <c r="CS51" s="424">
        <f t="shared" si="107"/>
        <v>0</v>
      </c>
      <c r="CT51" s="425">
        <f t="shared" si="108"/>
        <v>0</v>
      </c>
      <c r="CU51" s="417">
        <f t="shared" si="128"/>
        <v>0</v>
      </c>
      <c r="CV51" s="424">
        <f t="shared" si="110"/>
        <v>0</v>
      </c>
      <c r="CW51" s="425">
        <f t="shared" si="111"/>
        <v>0</v>
      </c>
      <c r="CX51" s="417">
        <f t="shared" si="129"/>
        <v>0</v>
      </c>
    </row>
    <row r="52" spans="1:102">
      <c r="A52" s="430" t="str">
        <f>'HSZ do groszy'!A52</f>
        <v>Obligacje 2019</v>
      </c>
      <c r="B52" s="429">
        <f>ROUNDUP('HSZ do groszy'!B52,0)</f>
        <v>0</v>
      </c>
      <c r="C52" s="416">
        <f>ROUNDUP('HSZ do groszy'!C52,0)</f>
        <v>0</v>
      </c>
      <c r="D52" s="417">
        <f>ROUNDUP('HSZ do groszy'!D52,0)</f>
        <v>0</v>
      </c>
      <c r="E52" s="582">
        <f t="shared" si="71"/>
        <v>0</v>
      </c>
      <c r="F52" s="418">
        <f t="shared" si="130"/>
        <v>0</v>
      </c>
      <c r="G52" s="416">
        <f>ROUNDUP('HSZ do groszy'!G52,0)</f>
        <v>0</v>
      </c>
      <c r="H52" s="417">
        <f>ROUNDUP('HSZ do groszy'!H52,0)</f>
        <v>0</v>
      </c>
      <c r="I52" s="416">
        <f>ROUNDUP('HSZ do groszy'!I52,0)</f>
        <v>0</v>
      </c>
      <c r="J52" s="417">
        <f>ROUNDUP('HSZ do groszy'!J52,0)</f>
        <v>0</v>
      </c>
      <c r="K52" s="419">
        <f>ROUNDUP('HSZ do groszy'!K52,0)</f>
        <v>0</v>
      </c>
      <c r="L52" s="420">
        <f>ROUNDUP('HSZ do groszy'!L52,0)</f>
        <v>0</v>
      </c>
      <c r="M52" s="416">
        <f>ROUNDUP('HSZ do groszy'!M52,0)</f>
        <v>0</v>
      </c>
      <c r="N52" s="417">
        <f>ROUNDUP('HSZ do groszy'!N52,0)</f>
        <v>0</v>
      </c>
      <c r="O52" s="419">
        <f>ROUNDUP('HSZ do groszy'!O52,0)</f>
        <v>0</v>
      </c>
      <c r="P52" s="420">
        <f>ROUNDUP('HSZ do groszy'!P52,0)</f>
        <v>0</v>
      </c>
      <c r="Q52" s="416">
        <f>ROUNDUP('HSZ do groszy'!Q52,0)</f>
        <v>0</v>
      </c>
      <c r="R52" s="417">
        <f>ROUNDUP('HSZ do groszy'!R52,0)</f>
        <v>0</v>
      </c>
      <c r="S52" s="419">
        <f>ROUNDUP('HSZ do groszy'!S52,0)</f>
        <v>0</v>
      </c>
      <c r="T52" s="420">
        <f>ROUNDUP('HSZ do groszy'!T52,0)</f>
        <v>0</v>
      </c>
      <c r="U52" s="416">
        <f>ROUNDUP('HSZ do groszy'!U52,0)</f>
        <v>0</v>
      </c>
      <c r="V52" s="417">
        <f>ROUNDUP('HSZ do groszy'!V52,0)</f>
        <v>0</v>
      </c>
      <c r="W52" s="419">
        <f>ROUNDUP('HSZ do groszy'!W52,0)</f>
        <v>0</v>
      </c>
      <c r="X52" s="420">
        <f>ROUNDUP('HSZ do groszy'!X52,0)</f>
        <v>0</v>
      </c>
      <c r="Y52" s="416">
        <f>ROUNDUP('HSZ do groszy'!Y52,0)</f>
        <v>0</v>
      </c>
      <c r="Z52" s="417">
        <f>ROUNDUP('HSZ do groszy'!Z52,0)</f>
        <v>0</v>
      </c>
      <c r="AA52" s="419">
        <f>ROUNDUP('HSZ do groszy'!AA52,0)</f>
        <v>0</v>
      </c>
      <c r="AB52" s="420">
        <f>ROUNDUP('HSZ do groszy'!AB52,0)</f>
        <v>0</v>
      </c>
      <c r="AC52" s="416">
        <f>ROUNDUP('HSZ do groszy'!AC52,0)</f>
        <v>0</v>
      </c>
      <c r="AD52" s="417">
        <f>ROUNDUP('HSZ do groszy'!AD52,0)</f>
        <v>0</v>
      </c>
      <c r="AE52" s="419">
        <f>ROUNDUP('HSZ do groszy'!AE52,0)</f>
        <v>0</v>
      </c>
      <c r="AF52" s="417">
        <f>ROUNDUP('HSZ do groszy'!AF52,0)</f>
        <v>0</v>
      </c>
      <c r="AG52" s="419">
        <f>ROUNDUP('HSZ do groszy'!AG52,0)</f>
        <v>0</v>
      </c>
      <c r="AH52" s="421">
        <f>ROUNDUP('HSZ do groszy'!AH52,0)</f>
        <v>0</v>
      </c>
      <c r="AI52" s="419">
        <f>ROUNDUP('HSZ do groszy'!AI52,0)</f>
        <v>0</v>
      </c>
      <c r="AJ52" s="421">
        <f>ROUNDUP('HSZ do groszy'!AJ52,0)</f>
        <v>0</v>
      </c>
      <c r="AK52" s="419">
        <f>ROUNDUP('HSZ do groszy'!AK52,0)</f>
        <v>0</v>
      </c>
      <c r="AL52" s="421">
        <f>ROUNDUP('HSZ do groszy'!AL52,0)</f>
        <v>0</v>
      </c>
      <c r="AM52" s="419">
        <f>ROUNDUP('HSZ do groszy'!AM52,0)</f>
        <v>0</v>
      </c>
      <c r="AN52" s="421">
        <f>ROUNDUP('HSZ do groszy'!AN52,0)</f>
        <v>0</v>
      </c>
      <c r="AO52" s="419">
        <f>ROUNDUP('HSZ do groszy'!AO52,0)</f>
        <v>0</v>
      </c>
      <c r="AP52" s="421">
        <f>ROUNDUP('HSZ do groszy'!AP52,0)</f>
        <v>0</v>
      </c>
      <c r="AQ52" s="419">
        <f>ROUNDUP('HSZ do groszy'!AQ52,0)</f>
        <v>0</v>
      </c>
      <c r="AR52" s="421">
        <f>ROUNDUP('HSZ do groszy'!AR52,0)</f>
        <v>0</v>
      </c>
      <c r="AS52" s="192"/>
      <c r="AT52" s="192"/>
      <c r="AU52" s="422" t="str">
        <f t="shared" si="120"/>
        <v>Obligacje 2019</v>
      </c>
      <c r="AV52" s="423"/>
      <c r="AW52" s="424"/>
      <c r="AX52" s="425"/>
      <c r="AY52" s="417"/>
      <c r="AZ52" s="424"/>
      <c r="BA52" s="425"/>
      <c r="BB52" s="417"/>
      <c r="BC52" s="424"/>
      <c r="BD52" s="425"/>
      <c r="BE52" s="417"/>
      <c r="BF52" s="424"/>
      <c r="BG52" s="425"/>
      <c r="BH52" s="417"/>
      <c r="BI52" s="424"/>
      <c r="BJ52" s="425"/>
      <c r="BK52" s="417"/>
      <c r="BL52" s="424"/>
      <c r="BM52" s="425"/>
      <c r="BN52" s="417"/>
      <c r="BO52" s="424"/>
      <c r="BP52" s="425"/>
      <c r="BQ52" s="417"/>
      <c r="BR52" s="424">
        <f t="shared" si="82"/>
        <v>0</v>
      </c>
      <c r="BS52" s="425">
        <f t="shared" si="83"/>
        <v>0</v>
      </c>
      <c r="BT52" s="417">
        <f t="shared" si="123"/>
        <v>0</v>
      </c>
      <c r="BU52" s="424">
        <f t="shared" si="84"/>
        <v>0</v>
      </c>
      <c r="BV52" s="425">
        <f t="shared" si="85"/>
        <v>0</v>
      </c>
      <c r="BW52" s="417">
        <f t="shared" si="124"/>
        <v>0</v>
      </c>
      <c r="BX52" s="424">
        <f t="shared" si="86"/>
        <v>0</v>
      </c>
      <c r="BY52" s="425">
        <f t="shared" si="87"/>
        <v>0</v>
      </c>
      <c r="BZ52" s="417">
        <f t="shared" si="88"/>
        <v>0</v>
      </c>
      <c r="CA52" s="424">
        <f t="shared" si="89"/>
        <v>0</v>
      </c>
      <c r="CB52" s="425">
        <f t="shared" si="90"/>
        <v>0</v>
      </c>
      <c r="CC52" s="417">
        <f t="shared" si="91"/>
        <v>0</v>
      </c>
      <c r="CD52" s="424">
        <f t="shared" si="92"/>
        <v>0</v>
      </c>
      <c r="CE52" s="425">
        <f t="shared" si="93"/>
        <v>0</v>
      </c>
      <c r="CF52" s="417">
        <f t="shared" si="94"/>
        <v>0</v>
      </c>
      <c r="CG52" s="424">
        <f t="shared" si="95"/>
        <v>0</v>
      </c>
      <c r="CH52" s="425">
        <f t="shared" si="96"/>
        <v>0</v>
      </c>
      <c r="CI52" s="417">
        <f t="shared" si="97"/>
        <v>0</v>
      </c>
      <c r="CJ52" s="424">
        <f t="shared" si="98"/>
        <v>0</v>
      </c>
      <c r="CK52" s="425">
        <f t="shared" si="99"/>
        <v>0</v>
      </c>
      <c r="CL52" s="417">
        <f t="shared" si="125"/>
        <v>0</v>
      </c>
      <c r="CM52" s="424">
        <f t="shared" si="101"/>
        <v>0</v>
      </c>
      <c r="CN52" s="425">
        <f t="shared" si="102"/>
        <v>0</v>
      </c>
      <c r="CO52" s="417">
        <f t="shared" si="126"/>
        <v>0</v>
      </c>
      <c r="CP52" s="424">
        <f t="shared" si="104"/>
        <v>0</v>
      </c>
      <c r="CQ52" s="425">
        <f t="shared" si="105"/>
        <v>0</v>
      </c>
      <c r="CR52" s="417">
        <f t="shared" si="127"/>
        <v>0</v>
      </c>
      <c r="CS52" s="424">
        <f t="shared" si="107"/>
        <v>0</v>
      </c>
      <c r="CT52" s="425">
        <f t="shared" si="108"/>
        <v>0</v>
      </c>
      <c r="CU52" s="417">
        <f t="shared" si="128"/>
        <v>0</v>
      </c>
      <c r="CV52" s="424">
        <f t="shared" si="110"/>
        <v>0</v>
      </c>
      <c r="CW52" s="425">
        <f t="shared" si="111"/>
        <v>0</v>
      </c>
      <c r="CX52" s="417">
        <f t="shared" si="129"/>
        <v>0</v>
      </c>
    </row>
    <row r="53" spans="1:102">
      <c r="A53" s="430" t="str">
        <f>'HSZ do groszy'!A53</f>
        <v>Obligacje 2020</v>
      </c>
      <c r="B53" s="429">
        <f>ROUNDUP('HSZ do groszy'!B53,0)</f>
        <v>0</v>
      </c>
      <c r="C53" s="416">
        <f>ROUNDUP('HSZ do groszy'!C53,0)</f>
        <v>0</v>
      </c>
      <c r="D53" s="417">
        <f>ROUNDUP('HSZ do groszy'!D53,0)</f>
        <v>0</v>
      </c>
      <c r="E53" s="582">
        <f t="shared" si="71"/>
        <v>0</v>
      </c>
      <c r="F53" s="418">
        <f t="shared" si="130"/>
        <v>0</v>
      </c>
      <c r="G53" s="416">
        <f>ROUNDUP('HSZ do groszy'!G53,0)</f>
        <v>0</v>
      </c>
      <c r="H53" s="417">
        <f>ROUNDUP('HSZ do groszy'!H53,0)</f>
        <v>0</v>
      </c>
      <c r="I53" s="416">
        <f>ROUNDUP('HSZ do groszy'!I53,0)</f>
        <v>0</v>
      </c>
      <c r="J53" s="417">
        <f>ROUNDUP('HSZ do groszy'!J53,0)</f>
        <v>0</v>
      </c>
      <c r="K53" s="419">
        <f>ROUNDUP('HSZ do groszy'!K53,0)</f>
        <v>0</v>
      </c>
      <c r="L53" s="420">
        <f>ROUNDUP('HSZ do groszy'!L53,0)</f>
        <v>0</v>
      </c>
      <c r="M53" s="416">
        <f>ROUNDUP('HSZ do groszy'!M53,0)</f>
        <v>0</v>
      </c>
      <c r="N53" s="417">
        <f>ROUNDUP('HSZ do groszy'!N53,0)</f>
        <v>0</v>
      </c>
      <c r="O53" s="419">
        <f>ROUNDUP('HSZ do groszy'!O53,0)</f>
        <v>0</v>
      </c>
      <c r="P53" s="420">
        <f>ROUNDUP('HSZ do groszy'!P53,0)</f>
        <v>0</v>
      </c>
      <c r="Q53" s="416">
        <f>ROUNDUP('HSZ do groszy'!Q53,0)</f>
        <v>0</v>
      </c>
      <c r="R53" s="417">
        <f>ROUNDUP('HSZ do groszy'!R53,0)</f>
        <v>0</v>
      </c>
      <c r="S53" s="419">
        <f>ROUNDUP('HSZ do groszy'!S53,0)</f>
        <v>0</v>
      </c>
      <c r="T53" s="420">
        <f>ROUNDUP('HSZ do groszy'!T53,0)</f>
        <v>0</v>
      </c>
      <c r="U53" s="416">
        <f>ROUNDUP('HSZ do groszy'!U53,0)</f>
        <v>0</v>
      </c>
      <c r="V53" s="417">
        <f>ROUNDUP('HSZ do groszy'!V53,0)</f>
        <v>0</v>
      </c>
      <c r="W53" s="419">
        <f>ROUNDUP('HSZ do groszy'!W53,0)</f>
        <v>0</v>
      </c>
      <c r="X53" s="420">
        <f>ROUNDUP('HSZ do groszy'!X53,0)</f>
        <v>0</v>
      </c>
      <c r="Y53" s="416">
        <f>ROUNDUP('HSZ do groszy'!Y53,0)</f>
        <v>0</v>
      </c>
      <c r="Z53" s="417">
        <f>ROUNDUP('HSZ do groszy'!Z53,0)</f>
        <v>0</v>
      </c>
      <c r="AA53" s="419">
        <f>ROUNDUP('HSZ do groszy'!AA53,0)</f>
        <v>0</v>
      </c>
      <c r="AB53" s="420">
        <f>ROUNDUP('HSZ do groszy'!AB53,0)</f>
        <v>0</v>
      </c>
      <c r="AC53" s="416">
        <f>ROUNDUP('HSZ do groszy'!AC53,0)</f>
        <v>0</v>
      </c>
      <c r="AD53" s="417">
        <f>ROUNDUP('HSZ do groszy'!AD53,0)</f>
        <v>0</v>
      </c>
      <c r="AE53" s="419">
        <f>ROUNDUP('HSZ do groszy'!AE53,0)</f>
        <v>0</v>
      </c>
      <c r="AF53" s="417">
        <f>ROUNDUP('HSZ do groszy'!AF53,0)</f>
        <v>0</v>
      </c>
      <c r="AG53" s="419">
        <f>ROUNDUP('HSZ do groszy'!AG53,0)</f>
        <v>0</v>
      </c>
      <c r="AH53" s="421">
        <f>ROUNDUP('HSZ do groszy'!AH53,0)</f>
        <v>0</v>
      </c>
      <c r="AI53" s="419">
        <f>ROUNDUP('HSZ do groszy'!AI53,0)</f>
        <v>0</v>
      </c>
      <c r="AJ53" s="421">
        <f>ROUNDUP('HSZ do groszy'!AJ53,0)</f>
        <v>0</v>
      </c>
      <c r="AK53" s="419">
        <f>ROUNDUP('HSZ do groszy'!AK53,0)</f>
        <v>0</v>
      </c>
      <c r="AL53" s="421">
        <f>ROUNDUP('HSZ do groszy'!AL53,0)</f>
        <v>0</v>
      </c>
      <c r="AM53" s="419">
        <f>ROUNDUP('HSZ do groszy'!AM53,0)</f>
        <v>0</v>
      </c>
      <c r="AN53" s="421">
        <f>ROUNDUP('HSZ do groszy'!AN53,0)</f>
        <v>0</v>
      </c>
      <c r="AO53" s="419">
        <f>ROUNDUP('HSZ do groszy'!AO53,0)</f>
        <v>0</v>
      </c>
      <c r="AP53" s="421">
        <f>ROUNDUP('HSZ do groszy'!AP53,0)</f>
        <v>0</v>
      </c>
      <c r="AQ53" s="419">
        <f>ROUNDUP('HSZ do groszy'!AQ53,0)</f>
        <v>0</v>
      </c>
      <c r="AR53" s="421">
        <f>ROUNDUP('HSZ do groszy'!AR53,0)</f>
        <v>0</v>
      </c>
      <c r="AS53" s="192"/>
      <c r="AT53" s="192"/>
      <c r="AU53" s="422" t="str">
        <f t="shared" si="120"/>
        <v>Obligacje 2020</v>
      </c>
      <c r="AV53" s="423"/>
      <c r="AW53" s="424"/>
      <c r="AX53" s="425"/>
      <c r="AY53" s="417"/>
      <c r="AZ53" s="424"/>
      <c r="BA53" s="425"/>
      <c r="BB53" s="417"/>
      <c r="BC53" s="424"/>
      <c r="BD53" s="425"/>
      <c r="BE53" s="417"/>
      <c r="BF53" s="424"/>
      <c r="BG53" s="425"/>
      <c r="BH53" s="417"/>
      <c r="BI53" s="424"/>
      <c r="BJ53" s="425"/>
      <c r="BK53" s="417"/>
      <c r="BL53" s="424"/>
      <c r="BM53" s="425"/>
      <c r="BN53" s="417"/>
      <c r="BO53" s="424"/>
      <c r="BP53" s="425"/>
      <c r="BQ53" s="417"/>
      <c r="BR53" s="424"/>
      <c r="BS53" s="425"/>
      <c r="BT53" s="417"/>
      <c r="BU53" s="424">
        <f t="shared" si="84"/>
        <v>0</v>
      </c>
      <c r="BV53" s="425">
        <f t="shared" si="85"/>
        <v>0</v>
      </c>
      <c r="BW53" s="417">
        <f t="shared" si="124"/>
        <v>0</v>
      </c>
      <c r="BX53" s="424">
        <f t="shared" si="86"/>
        <v>0</v>
      </c>
      <c r="BY53" s="425">
        <f t="shared" si="87"/>
        <v>0</v>
      </c>
      <c r="BZ53" s="417">
        <f t="shared" si="88"/>
        <v>0</v>
      </c>
      <c r="CA53" s="424">
        <f>SUM($AC53,$AE53,$AG53)</f>
        <v>0</v>
      </c>
      <c r="CB53" s="425">
        <f t="shared" si="90"/>
        <v>0</v>
      </c>
      <c r="CC53" s="417">
        <f t="shared" si="91"/>
        <v>0</v>
      </c>
      <c r="CD53" s="424">
        <f t="shared" si="92"/>
        <v>0</v>
      </c>
      <c r="CE53" s="425">
        <f t="shared" si="93"/>
        <v>0</v>
      </c>
      <c r="CF53" s="417">
        <f t="shared" si="94"/>
        <v>0</v>
      </c>
      <c r="CG53" s="424">
        <f t="shared" si="95"/>
        <v>0</v>
      </c>
      <c r="CH53" s="425">
        <f t="shared" si="96"/>
        <v>0</v>
      </c>
      <c r="CI53" s="417">
        <f t="shared" si="97"/>
        <v>0</v>
      </c>
      <c r="CJ53" s="424">
        <f t="shared" si="98"/>
        <v>0</v>
      </c>
      <c r="CK53" s="425">
        <f t="shared" si="99"/>
        <v>0</v>
      </c>
      <c r="CL53" s="417">
        <f t="shared" si="125"/>
        <v>0</v>
      </c>
      <c r="CM53" s="424">
        <f t="shared" si="101"/>
        <v>0</v>
      </c>
      <c r="CN53" s="425">
        <f t="shared" si="102"/>
        <v>0</v>
      </c>
      <c r="CO53" s="417">
        <f t="shared" si="126"/>
        <v>0</v>
      </c>
      <c r="CP53" s="424">
        <f t="shared" si="104"/>
        <v>0</v>
      </c>
      <c r="CQ53" s="425">
        <f t="shared" si="105"/>
        <v>0</v>
      </c>
      <c r="CR53" s="417">
        <f t="shared" si="127"/>
        <v>0</v>
      </c>
      <c r="CS53" s="424">
        <f t="shared" si="107"/>
        <v>0</v>
      </c>
      <c r="CT53" s="425">
        <f t="shared" si="108"/>
        <v>0</v>
      </c>
      <c r="CU53" s="417">
        <f t="shared" si="128"/>
        <v>0</v>
      </c>
      <c r="CV53" s="424">
        <f t="shared" si="110"/>
        <v>0</v>
      </c>
      <c r="CW53" s="425">
        <f t="shared" si="111"/>
        <v>0</v>
      </c>
      <c r="CX53" s="417">
        <f t="shared" si="129"/>
        <v>0</v>
      </c>
    </row>
    <row r="54" spans="1:102">
      <c r="A54" s="430" t="str">
        <f>'HSZ do groszy'!A54</f>
        <v>Obligacje 2021</v>
      </c>
      <c r="B54" s="429">
        <f>ROUNDUP('HSZ do groszy'!B54,0)</f>
        <v>0</v>
      </c>
      <c r="C54" s="416">
        <f>ROUNDUP('HSZ do groszy'!C54,0)</f>
        <v>0</v>
      </c>
      <c r="D54" s="417">
        <f>ROUNDUP('HSZ do groszy'!D54,0)</f>
        <v>0</v>
      </c>
      <c r="E54" s="582">
        <f t="shared" si="71"/>
        <v>0</v>
      </c>
      <c r="F54" s="418">
        <f t="shared" si="130"/>
        <v>0</v>
      </c>
      <c r="G54" s="416">
        <f>ROUNDUP('HSZ do groszy'!G54,0)</f>
        <v>0</v>
      </c>
      <c r="H54" s="417">
        <f>ROUNDUP('HSZ do groszy'!H54,0)</f>
        <v>0</v>
      </c>
      <c r="I54" s="416">
        <f>ROUNDUP('HSZ do groszy'!I54,0)</f>
        <v>0</v>
      </c>
      <c r="J54" s="417">
        <f>ROUNDUP('HSZ do groszy'!J54,0)</f>
        <v>0</v>
      </c>
      <c r="K54" s="419">
        <f>ROUNDUP('HSZ do groszy'!K54,0)</f>
        <v>0</v>
      </c>
      <c r="L54" s="420">
        <f>ROUNDUP('HSZ do groszy'!L54,0)</f>
        <v>0</v>
      </c>
      <c r="M54" s="416">
        <f>ROUNDUP('HSZ do groszy'!M54,0)</f>
        <v>0</v>
      </c>
      <c r="N54" s="417">
        <f>ROUNDUP('HSZ do groszy'!N54,0)</f>
        <v>0</v>
      </c>
      <c r="O54" s="419">
        <f>ROUNDUP('HSZ do groszy'!O54,0)</f>
        <v>0</v>
      </c>
      <c r="P54" s="420">
        <f>ROUNDUP('HSZ do groszy'!P54,0)</f>
        <v>0</v>
      </c>
      <c r="Q54" s="416">
        <f>ROUNDUP('HSZ do groszy'!Q54,0)</f>
        <v>0</v>
      </c>
      <c r="R54" s="417">
        <f>ROUNDUP('HSZ do groszy'!R54,0)</f>
        <v>0</v>
      </c>
      <c r="S54" s="419">
        <f>ROUNDUP('HSZ do groszy'!S54,0)</f>
        <v>0</v>
      </c>
      <c r="T54" s="420">
        <f>ROUNDUP('HSZ do groszy'!T54,0)</f>
        <v>0</v>
      </c>
      <c r="U54" s="416">
        <f>ROUNDUP('HSZ do groszy'!U54,0)</f>
        <v>0</v>
      </c>
      <c r="V54" s="417">
        <f>ROUNDUP('HSZ do groszy'!V54,0)</f>
        <v>0</v>
      </c>
      <c r="W54" s="419">
        <f>ROUNDUP('HSZ do groszy'!W54,0)</f>
        <v>0</v>
      </c>
      <c r="X54" s="420">
        <f>ROUNDUP('HSZ do groszy'!X54,0)</f>
        <v>0</v>
      </c>
      <c r="Y54" s="416">
        <f>ROUNDUP('HSZ do groszy'!Y54,0)</f>
        <v>0</v>
      </c>
      <c r="Z54" s="417">
        <f>ROUNDUP('HSZ do groszy'!Z54,0)</f>
        <v>0</v>
      </c>
      <c r="AA54" s="419">
        <f>ROUNDUP('HSZ do groszy'!AA54,0)</f>
        <v>0</v>
      </c>
      <c r="AB54" s="420">
        <f>ROUNDUP('HSZ do groszy'!AB54,0)</f>
        <v>0</v>
      </c>
      <c r="AC54" s="416">
        <f>ROUNDUP('HSZ do groszy'!AC54,0)</f>
        <v>0</v>
      </c>
      <c r="AD54" s="417">
        <f>ROUNDUP('HSZ do groszy'!AD54,0)</f>
        <v>0</v>
      </c>
      <c r="AE54" s="419">
        <f>ROUNDUP('HSZ do groszy'!AE54,0)</f>
        <v>0</v>
      </c>
      <c r="AF54" s="417">
        <f>ROUNDUP('HSZ do groszy'!AF54,0)</f>
        <v>0</v>
      </c>
      <c r="AG54" s="419">
        <f>ROUNDUP('HSZ do groszy'!AG54,0)</f>
        <v>0</v>
      </c>
      <c r="AH54" s="421">
        <f>ROUNDUP('HSZ do groszy'!AH54,0)</f>
        <v>0</v>
      </c>
      <c r="AI54" s="419">
        <f>ROUNDUP('HSZ do groszy'!AI54,0)</f>
        <v>0</v>
      </c>
      <c r="AJ54" s="421">
        <f>ROUNDUP('HSZ do groszy'!AJ54,0)</f>
        <v>0</v>
      </c>
      <c r="AK54" s="419">
        <f>ROUNDUP('HSZ do groszy'!AK54,0)</f>
        <v>0</v>
      </c>
      <c r="AL54" s="421">
        <f>ROUNDUP('HSZ do groszy'!AL54,0)</f>
        <v>0</v>
      </c>
      <c r="AM54" s="419">
        <f>ROUNDUP('HSZ do groszy'!AM54,0)</f>
        <v>0</v>
      </c>
      <c r="AN54" s="421">
        <f>ROUNDUP('HSZ do groszy'!AN54,0)</f>
        <v>0</v>
      </c>
      <c r="AO54" s="419">
        <f>ROUNDUP('HSZ do groszy'!AO54,0)</f>
        <v>0</v>
      </c>
      <c r="AP54" s="421">
        <f>ROUNDUP('HSZ do groszy'!AP54,0)</f>
        <v>0</v>
      </c>
      <c r="AQ54" s="419">
        <f>ROUNDUP('HSZ do groszy'!AQ54,0)</f>
        <v>0</v>
      </c>
      <c r="AR54" s="421">
        <f>ROUNDUP('HSZ do groszy'!AR54,0)</f>
        <v>0</v>
      </c>
      <c r="AS54" s="192"/>
      <c r="AT54" s="192"/>
      <c r="AU54" s="422" t="str">
        <f>A54</f>
        <v>Obligacje 2021</v>
      </c>
      <c r="AV54" s="423"/>
      <c r="AW54" s="424"/>
      <c r="AX54" s="425"/>
      <c r="AY54" s="417"/>
      <c r="AZ54" s="424"/>
      <c r="BA54" s="425"/>
      <c r="BB54" s="417"/>
      <c r="BC54" s="424"/>
      <c r="BD54" s="425"/>
      <c r="BE54" s="417"/>
      <c r="BF54" s="424"/>
      <c r="BG54" s="425"/>
      <c r="BH54" s="417"/>
      <c r="BI54" s="424"/>
      <c r="BJ54" s="425"/>
      <c r="BK54" s="417"/>
      <c r="BL54" s="424"/>
      <c r="BM54" s="425"/>
      <c r="BN54" s="417"/>
      <c r="BO54" s="424"/>
      <c r="BP54" s="425"/>
      <c r="BQ54" s="417"/>
      <c r="BR54" s="424"/>
      <c r="BS54" s="425"/>
      <c r="BT54" s="417"/>
      <c r="BU54" s="424"/>
      <c r="BV54" s="425"/>
      <c r="BW54" s="417"/>
      <c r="BX54" s="424">
        <f t="shared" si="86"/>
        <v>0</v>
      </c>
      <c r="BY54" s="425">
        <f t="shared" si="87"/>
        <v>0</v>
      </c>
      <c r="BZ54" s="417">
        <f t="shared" si="88"/>
        <v>0</v>
      </c>
      <c r="CA54" s="424">
        <f t="shared" si="89"/>
        <v>0</v>
      </c>
      <c r="CB54" s="425">
        <f t="shared" si="90"/>
        <v>0</v>
      </c>
      <c r="CC54" s="417">
        <f t="shared" si="91"/>
        <v>0</v>
      </c>
      <c r="CD54" s="424">
        <f t="shared" si="92"/>
        <v>0</v>
      </c>
      <c r="CE54" s="425">
        <f t="shared" si="93"/>
        <v>0</v>
      </c>
      <c r="CF54" s="417">
        <f t="shared" si="94"/>
        <v>0</v>
      </c>
      <c r="CG54" s="424">
        <f t="shared" si="95"/>
        <v>0</v>
      </c>
      <c r="CH54" s="425">
        <f t="shared" si="96"/>
        <v>0</v>
      </c>
      <c r="CI54" s="417">
        <f t="shared" si="97"/>
        <v>0</v>
      </c>
      <c r="CJ54" s="424">
        <f t="shared" si="98"/>
        <v>0</v>
      </c>
      <c r="CK54" s="425">
        <f t="shared" si="99"/>
        <v>0</v>
      </c>
      <c r="CL54" s="417">
        <f t="shared" si="125"/>
        <v>0</v>
      </c>
      <c r="CM54" s="424">
        <f t="shared" si="101"/>
        <v>0</v>
      </c>
      <c r="CN54" s="425">
        <f t="shared" si="102"/>
        <v>0</v>
      </c>
      <c r="CO54" s="417">
        <f t="shared" si="126"/>
        <v>0</v>
      </c>
      <c r="CP54" s="424">
        <f t="shared" si="104"/>
        <v>0</v>
      </c>
      <c r="CQ54" s="425">
        <f t="shared" si="105"/>
        <v>0</v>
      </c>
      <c r="CR54" s="417">
        <f t="shared" si="127"/>
        <v>0</v>
      </c>
      <c r="CS54" s="424">
        <f t="shared" si="107"/>
        <v>0</v>
      </c>
      <c r="CT54" s="425">
        <f t="shared" si="108"/>
        <v>0</v>
      </c>
      <c r="CU54" s="417">
        <f t="shared" si="128"/>
        <v>0</v>
      </c>
      <c r="CV54" s="424">
        <f t="shared" si="110"/>
        <v>0</v>
      </c>
      <c r="CW54" s="425">
        <f t="shared" si="111"/>
        <v>0</v>
      </c>
      <c r="CX54" s="417">
        <f t="shared" si="129"/>
        <v>0</v>
      </c>
    </row>
    <row r="55" spans="1:102">
      <c r="A55" s="430" t="str">
        <f>'HSZ do groszy'!A55</f>
        <v>Obligacje 2022</v>
      </c>
      <c r="B55" s="429">
        <f>ROUNDUP('HSZ do groszy'!B55,0)</f>
        <v>0</v>
      </c>
      <c r="C55" s="416">
        <f>ROUNDUP('HSZ do groszy'!C55,0)</f>
        <v>0</v>
      </c>
      <c r="D55" s="417">
        <f>ROUNDUP('HSZ do groszy'!D55,0)</f>
        <v>0</v>
      </c>
      <c r="E55" s="582">
        <f t="shared" si="71"/>
        <v>0</v>
      </c>
      <c r="F55" s="418">
        <f t="shared" si="130"/>
        <v>0</v>
      </c>
      <c r="G55" s="416">
        <f>ROUNDUP('HSZ do groszy'!G55,0)</f>
        <v>0</v>
      </c>
      <c r="H55" s="417">
        <f>ROUNDUP('HSZ do groszy'!H55,0)</f>
        <v>0</v>
      </c>
      <c r="I55" s="416">
        <f>ROUNDUP('HSZ do groszy'!I55,0)</f>
        <v>0</v>
      </c>
      <c r="J55" s="417">
        <f>ROUNDUP('HSZ do groszy'!J55,0)</f>
        <v>0</v>
      </c>
      <c r="K55" s="419">
        <f>ROUNDUP('HSZ do groszy'!K55,0)</f>
        <v>0</v>
      </c>
      <c r="L55" s="420">
        <f>ROUNDUP('HSZ do groszy'!L55,0)</f>
        <v>0</v>
      </c>
      <c r="M55" s="416">
        <f>ROUNDUP('HSZ do groszy'!M55,0)</f>
        <v>0</v>
      </c>
      <c r="N55" s="417">
        <f>ROUNDUP('HSZ do groszy'!N55,0)</f>
        <v>0</v>
      </c>
      <c r="O55" s="419">
        <f>ROUNDUP('HSZ do groszy'!O55,0)</f>
        <v>0</v>
      </c>
      <c r="P55" s="420">
        <f>ROUNDUP('HSZ do groszy'!P55,0)</f>
        <v>0</v>
      </c>
      <c r="Q55" s="416">
        <f>ROUNDUP('HSZ do groszy'!Q55,0)</f>
        <v>0</v>
      </c>
      <c r="R55" s="417">
        <f>ROUNDUP('HSZ do groszy'!R55,0)</f>
        <v>0</v>
      </c>
      <c r="S55" s="419">
        <f>ROUNDUP('HSZ do groszy'!S55,0)</f>
        <v>0</v>
      </c>
      <c r="T55" s="420">
        <f>ROUNDUP('HSZ do groszy'!T55,0)</f>
        <v>0</v>
      </c>
      <c r="U55" s="416">
        <f>ROUNDUP('HSZ do groszy'!U55,0)</f>
        <v>0</v>
      </c>
      <c r="V55" s="417">
        <f>ROUNDUP('HSZ do groszy'!V55,0)</f>
        <v>0</v>
      </c>
      <c r="W55" s="419">
        <f>ROUNDUP('HSZ do groszy'!W55,0)</f>
        <v>0</v>
      </c>
      <c r="X55" s="420">
        <f>ROUNDUP('HSZ do groszy'!X55,0)</f>
        <v>0</v>
      </c>
      <c r="Y55" s="416">
        <f>ROUNDUP('HSZ do groszy'!Y55,0)</f>
        <v>0</v>
      </c>
      <c r="Z55" s="417">
        <f>ROUNDUP('HSZ do groszy'!Z55,0)</f>
        <v>0</v>
      </c>
      <c r="AA55" s="419">
        <f>ROUNDUP('HSZ do groszy'!AA55,0)</f>
        <v>0</v>
      </c>
      <c r="AB55" s="420">
        <f>ROUNDUP('HSZ do groszy'!AB55,0)</f>
        <v>0</v>
      </c>
      <c r="AC55" s="416">
        <f>ROUNDUP('HSZ do groszy'!AC55,0)</f>
        <v>0</v>
      </c>
      <c r="AD55" s="417">
        <f>ROUNDUP('HSZ do groszy'!AD55,0)</f>
        <v>0</v>
      </c>
      <c r="AE55" s="419">
        <f>ROUNDUP('HSZ do groszy'!AE55,0)</f>
        <v>0</v>
      </c>
      <c r="AF55" s="417">
        <f>ROUNDUP('HSZ do groszy'!AF55,0)</f>
        <v>0</v>
      </c>
      <c r="AG55" s="419">
        <f>ROUNDUP('HSZ do groszy'!AG55,0)</f>
        <v>0</v>
      </c>
      <c r="AH55" s="421">
        <f>ROUNDUP('HSZ do groszy'!AH55,0)</f>
        <v>0</v>
      </c>
      <c r="AI55" s="419">
        <f>ROUNDUP('HSZ do groszy'!AI55,0)</f>
        <v>0</v>
      </c>
      <c r="AJ55" s="421">
        <f>ROUNDUP('HSZ do groszy'!AJ55,0)</f>
        <v>0</v>
      </c>
      <c r="AK55" s="419">
        <f>ROUNDUP('HSZ do groszy'!AK55,0)</f>
        <v>0</v>
      </c>
      <c r="AL55" s="421">
        <f>ROUNDUP('HSZ do groszy'!AL55,0)</f>
        <v>0</v>
      </c>
      <c r="AM55" s="419">
        <f>ROUNDUP('HSZ do groszy'!AM55,0)</f>
        <v>0</v>
      </c>
      <c r="AN55" s="421">
        <f>ROUNDUP('HSZ do groszy'!AN55,0)</f>
        <v>0</v>
      </c>
      <c r="AO55" s="419">
        <f>ROUNDUP('HSZ do groszy'!AO55,0)</f>
        <v>0</v>
      </c>
      <c r="AP55" s="421">
        <f>ROUNDUP('HSZ do groszy'!AP55,0)</f>
        <v>0</v>
      </c>
      <c r="AQ55" s="419">
        <f>ROUNDUP('HSZ do groszy'!AQ55,0)</f>
        <v>0</v>
      </c>
      <c r="AR55" s="421">
        <f>ROUNDUP('HSZ do groszy'!AR55,0)</f>
        <v>0</v>
      </c>
      <c r="AS55" s="192"/>
      <c r="AT55" s="192"/>
      <c r="AU55" s="422"/>
      <c r="AV55" s="423"/>
      <c r="AW55" s="424"/>
      <c r="AX55" s="425"/>
      <c r="AY55" s="417"/>
      <c r="AZ55" s="424"/>
      <c r="BA55" s="425"/>
      <c r="BB55" s="417"/>
      <c r="BC55" s="424"/>
      <c r="BD55" s="425"/>
      <c r="BE55" s="417"/>
      <c r="BF55" s="424"/>
      <c r="BG55" s="425"/>
      <c r="BH55" s="417"/>
      <c r="BI55" s="424"/>
      <c r="BJ55" s="425"/>
      <c r="BK55" s="417"/>
      <c r="BL55" s="424"/>
      <c r="BM55" s="425"/>
      <c r="BN55" s="417"/>
      <c r="BO55" s="424"/>
      <c r="BP55" s="425"/>
      <c r="BQ55" s="417"/>
      <c r="BR55" s="424"/>
      <c r="BS55" s="425"/>
      <c r="BT55" s="417"/>
      <c r="BU55" s="424"/>
      <c r="BV55" s="425"/>
      <c r="BW55" s="417"/>
      <c r="BX55" s="424"/>
      <c r="BY55" s="425"/>
      <c r="BZ55" s="417"/>
      <c r="CA55" s="424">
        <f t="shared" si="89"/>
        <v>0</v>
      </c>
      <c r="CB55" s="425">
        <f t="shared" si="90"/>
        <v>0</v>
      </c>
      <c r="CC55" s="417">
        <f t="shared" ref="CC55:CC57" si="131">SUM(CA55,CB55)</f>
        <v>0</v>
      </c>
      <c r="CD55" s="424">
        <f t="shared" si="92"/>
        <v>0</v>
      </c>
      <c r="CE55" s="425">
        <f t="shared" si="93"/>
        <v>0</v>
      </c>
      <c r="CF55" s="417">
        <f t="shared" ref="CF55:CF57" si="132">SUM(CD55,CE55)</f>
        <v>0</v>
      </c>
      <c r="CG55" s="424">
        <f t="shared" si="95"/>
        <v>0</v>
      </c>
      <c r="CH55" s="425">
        <f t="shared" si="96"/>
        <v>0</v>
      </c>
      <c r="CI55" s="417">
        <f t="shared" ref="CI55:CI57" si="133">SUM(CG55,CH55)</f>
        <v>0</v>
      </c>
      <c r="CJ55" s="424">
        <f t="shared" si="98"/>
        <v>0</v>
      </c>
      <c r="CK55" s="425">
        <f t="shared" si="99"/>
        <v>0</v>
      </c>
      <c r="CL55" s="417">
        <f t="shared" si="125"/>
        <v>0</v>
      </c>
      <c r="CM55" s="424">
        <f t="shared" si="101"/>
        <v>0</v>
      </c>
      <c r="CN55" s="425">
        <f t="shared" si="102"/>
        <v>0</v>
      </c>
      <c r="CO55" s="417">
        <f t="shared" si="126"/>
        <v>0</v>
      </c>
      <c r="CP55" s="424">
        <f t="shared" si="104"/>
        <v>0</v>
      </c>
      <c r="CQ55" s="425">
        <f t="shared" si="105"/>
        <v>0</v>
      </c>
      <c r="CR55" s="417">
        <f t="shared" si="127"/>
        <v>0</v>
      </c>
      <c r="CS55" s="424">
        <f t="shared" si="107"/>
        <v>0</v>
      </c>
      <c r="CT55" s="425">
        <f t="shared" si="108"/>
        <v>0</v>
      </c>
      <c r="CU55" s="417">
        <f t="shared" si="128"/>
        <v>0</v>
      </c>
      <c r="CV55" s="424">
        <f t="shared" si="110"/>
        <v>0</v>
      </c>
      <c r="CW55" s="425">
        <f t="shared" si="111"/>
        <v>0</v>
      </c>
      <c r="CX55" s="417">
        <f t="shared" si="129"/>
        <v>0</v>
      </c>
    </row>
    <row r="56" spans="1:102">
      <c r="A56" s="430" t="str">
        <f>'HSZ do groszy'!A56</f>
        <v>Obligacje 2023</v>
      </c>
      <c r="B56" s="429">
        <f>ROUNDUP('HSZ do groszy'!B56,0)</f>
        <v>0</v>
      </c>
      <c r="C56" s="416">
        <f>ROUNDUP('HSZ do groszy'!C56,0)</f>
        <v>0</v>
      </c>
      <c r="D56" s="417">
        <f>ROUNDUP('HSZ do groszy'!D56,0)</f>
        <v>0</v>
      </c>
      <c r="E56" s="582">
        <f t="shared" si="71"/>
        <v>0</v>
      </c>
      <c r="F56" s="418">
        <f t="shared" si="130"/>
        <v>0</v>
      </c>
      <c r="G56" s="416">
        <f>ROUNDUP('HSZ do groszy'!G56,0)</f>
        <v>0</v>
      </c>
      <c r="H56" s="417">
        <f>ROUNDUP('HSZ do groszy'!H56,0)</f>
        <v>0</v>
      </c>
      <c r="I56" s="416">
        <f>ROUNDUP('HSZ do groszy'!I56,0)</f>
        <v>0</v>
      </c>
      <c r="J56" s="417">
        <f>ROUNDUP('HSZ do groszy'!J56,0)</f>
        <v>0</v>
      </c>
      <c r="K56" s="419">
        <f>ROUNDUP('HSZ do groszy'!K56,0)</f>
        <v>0</v>
      </c>
      <c r="L56" s="420">
        <f>ROUNDUP('HSZ do groszy'!L56,0)</f>
        <v>0</v>
      </c>
      <c r="M56" s="416">
        <f>ROUNDUP('HSZ do groszy'!M56,0)</f>
        <v>0</v>
      </c>
      <c r="N56" s="417">
        <f>ROUNDUP('HSZ do groszy'!N56,0)</f>
        <v>0</v>
      </c>
      <c r="O56" s="419">
        <f>ROUNDUP('HSZ do groszy'!O56,0)</f>
        <v>0</v>
      </c>
      <c r="P56" s="420">
        <f>ROUNDUP('HSZ do groszy'!P56,0)</f>
        <v>0</v>
      </c>
      <c r="Q56" s="416">
        <f>ROUNDUP('HSZ do groszy'!Q56,0)</f>
        <v>0</v>
      </c>
      <c r="R56" s="417">
        <f>ROUNDUP('HSZ do groszy'!R56,0)</f>
        <v>0</v>
      </c>
      <c r="S56" s="419">
        <f>ROUNDUP('HSZ do groszy'!S56,0)</f>
        <v>0</v>
      </c>
      <c r="T56" s="420">
        <f>ROUNDUP('HSZ do groszy'!T56,0)</f>
        <v>0</v>
      </c>
      <c r="U56" s="416">
        <f>ROUNDUP('HSZ do groszy'!U56,0)</f>
        <v>0</v>
      </c>
      <c r="V56" s="417">
        <f>ROUNDUP('HSZ do groszy'!V56,0)</f>
        <v>0</v>
      </c>
      <c r="W56" s="419">
        <f>ROUNDUP('HSZ do groszy'!W56,0)</f>
        <v>0</v>
      </c>
      <c r="X56" s="420">
        <f>ROUNDUP('HSZ do groszy'!X56,0)</f>
        <v>0</v>
      </c>
      <c r="Y56" s="416">
        <f>ROUNDUP('HSZ do groszy'!Y56,0)</f>
        <v>0</v>
      </c>
      <c r="Z56" s="417">
        <f>ROUNDUP('HSZ do groszy'!Z56,0)</f>
        <v>0</v>
      </c>
      <c r="AA56" s="419">
        <f>ROUNDUP('HSZ do groszy'!AA56,0)</f>
        <v>0</v>
      </c>
      <c r="AB56" s="420">
        <f>ROUNDUP('HSZ do groszy'!AB56,0)</f>
        <v>0</v>
      </c>
      <c r="AC56" s="416">
        <f>ROUNDUP('HSZ do groszy'!AC56,0)</f>
        <v>0</v>
      </c>
      <c r="AD56" s="417">
        <f>ROUNDUP('HSZ do groszy'!AD56,0)</f>
        <v>0</v>
      </c>
      <c r="AE56" s="419">
        <f>ROUNDUP('HSZ do groszy'!AE56,0)</f>
        <v>0</v>
      </c>
      <c r="AF56" s="417">
        <f>ROUNDUP('HSZ do groszy'!AF56,0)</f>
        <v>0</v>
      </c>
      <c r="AG56" s="419">
        <f>ROUNDUP('HSZ do groszy'!AG56,0)</f>
        <v>0</v>
      </c>
      <c r="AH56" s="421">
        <f>ROUNDUP('HSZ do groszy'!AH56,0)</f>
        <v>0</v>
      </c>
      <c r="AI56" s="419">
        <f>ROUNDUP('HSZ do groszy'!AI56,0)</f>
        <v>0</v>
      </c>
      <c r="AJ56" s="421">
        <f>ROUNDUP('HSZ do groszy'!AJ56,0)</f>
        <v>0</v>
      </c>
      <c r="AK56" s="419">
        <f>ROUNDUP('HSZ do groszy'!AK56,0)</f>
        <v>0</v>
      </c>
      <c r="AL56" s="421">
        <f>ROUNDUP('HSZ do groszy'!AL56,0)</f>
        <v>0</v>
      </c>
      <c r="AM56" s="419">
        <f>ROUNDUP('HSZ do groszy'!AM56,0)</f>
        <v>0</v>
      </c>
      <c r="AN56" s="421">
        <f>ROUNDUP('HSZ do groszy'!AN56,0)</f>
        <v>0</v>
      </c>
      <c r="AO56" s="419">
        <f>ROUNDUP('HSZ do groszy'!AO56,0)</f>
        <v>0</v>
      </c>
      <c r="AP56" s="421">
        <f>ROUNDUP('HSZ do groszy'!AP56,0)</f>
        <v>0</v>
      </c>
      <c r="AQ56" s="419">
        <f>ROUNDUP('HSZ do groszy'!AQ56,0)</f>
        <v>0</v>
      </c>
      <c r="AR56" s="421">
        <f>ROUNDUP('HSZ do groszy'!AR56,0)</f>
        <v>0</v>
      </c>
      <c r="AS56" s="192"/>
      <c r="AT56" s="192"/>
      <c r="AU56" s="422"/>
      <c r="AV56" s="423"/>
      <c r="AW56" s="424"/>
      <c r="AX56" s="425"/>
      <c r="AY56" s="417"/>
      <c r="AZ56" s="424"/>
      <c r="BA56" s="425"/>
      <c r="BB56" s="417"/>
      <c r="BC56" s="424"/>
      <c r="BD56" s="425"/>
      <c r="BE56" s="417"/>
      <c r="BF56" s="424"/>
      <c r="BG56" s="425"/>
      <c r="BH56" s="417"/>
      <c r="BI56" s="424"/>
      <c r="BJ56" s="425"/>
      <c r="BK56" s="417"/>
      <c r="BL56" s="424"/>
      <c r="BM56" s="425"/>
      <c r="BN56" s="417"/>
      <c r="BO56" s="424"/>
      <c r="BP56" s="425"/>
      <c r="BQ56" s="417"/>
      <c r="BR56" s="424"/>
      <c r="BS56" s="425"/>
      <c r="BT56" s="417"/>
      <c r="BU56" s="424"/>
      <c r="BV56" s="425"/>
      <c r="BW56" s="417"/>
      <c r="BX56" s="424"/>
      <c r="BY56" s="425"/>
      <c r="BZ56" s="417"/>
      <c r="CA56" s="424">
        <v>0</v>
      </c>
      <c r="CB56" s="425">
        <v>0</v>
      </c>
      <c r="CC56" s="417">
        <f t="shared" si="131"/>
        <v>0</v>
      </c>
      <c r="CD56" s="424">
        <f t="shared" si="92"/>
        <v>0</v>
      </c>
      <c r="CE56" s="425">
        <f t="shared" si="93"/>
        <v>0</v>
      </c>
      <c r="CF56" s="417">
        <f t="shared" si="132"/>
        <v>0</v>
      </c>
      <c r="CG56" s="424">
        <f t="shared" si="95"/>
        <v>0</v>
      </c>
      <c r="CH56" s="425">
        <f t="shared" si="96"/>
        <v>0</v>
      </c>
      <c r="CI56" s="417">
        <f t="shared" si="133"/>
        <v>0</v>
      </c>
      <c r="CJ56" s="424">
        <f t="shared" si="98"/>
        <v>0</v>
      </c>
      <c r="CK56" s="425">
        <f t="shared" si="99"/>
        <v>0</v>
      </c>
      <c r="CL56" s="417">
        <f t="shared" si="125"/>
        <v>0</v>
      </c>
      <c r="CM56" s="424">
        <f t="shared" si="101"/>
        <v>0</v>
      </c>
      <c r="CN56" s="425">
        <f t="shared" si="102"/>
        <v>0</v>
      </c>
      <c r="CO56" s="417">
        <f t="shared" si="126"/>
        <v>0</v>
      </c>
      <c r="CP56" s="424">
        <f t="shared" si="104"/>
        <v>0</v>
      </c>
      <c r="CQ56" s="425">
        <f t="shared" si="105"/>
        <v>0</v>
      </c>
      <c r="CR56" s="417">
        <f t="shared" si="127"/>
        <v>0</v>
      </c>
      <c r="CS56" s="424">
        <f t="shared" si="107"/>
        <v>0</v>
      </c>
      <c r="CT56" s="425">
        <f t="shared" si="108"/>
        <v>0</v>
      </c>
      <c r="CU56" s="417">
        <f t="shared" si="128"/>
        <v>0</v>
      </c>
      <c r="CV56" s="424">
        <f t="shared" si="110"/>
        <v>0</v>
      </c>
      <c r="CW56" s="425">
        <f t="shared" si="111"/>
        <v>0</v>
      </c>
      <c r="CX56" s="417">
        <f t="shared" si="129"/>
        <v>0</v>
      </c>
    </row>
    <row r="57" spans="1:102">
      <c r="A57" s="430" t="str">
        <f>'HSZ do groszy'!A57</f>
        <v>Obligacje inwestycje</v>
      </c>
      <c r="B57" s="429">
        <f>ROUNDUP('HSZ do groszy'!B57,0)</f>
        <v>0</v>
      </c>
      <c r="C57" s="416">
        <f>ROUNDUP('HSZ do groszy'!C57,0)</f>
        <v>0</v>
      </c>
      <c r="D57" s="417">
        <f>ROUNDUP('HSZ do groszy'!D57,0)</f>
        <v>0</v>
      </c>
      <c r="E57" s="582">
        <f t="shared" si="71"/>
        <v>0</v>
      </c>
      <c r="F57" s="418">
        <f t="shared" si="130"/>
        <v>0</v>
      </c>
      <c r="G57" s="416">
        <f>ROUNDUP('HSZ do groszy'!G57,0)</f>
        <v>0</v>
      </c>
      <c r="H57" s="417">
        <f>ROUNDUP('HSZ do groszy'!H57,0)</f>
        <v>0</v>
      </c>
      <c r="I57" s="416">
        <f>ROUNDUP('HSZ do groszy'!I57,0)</f>
        <v>0</v>
      </c>
      <c r="J57" s="417">
        <f>ROUNDUP('HSZ do groszy'!J57,0)</f>
        <v>0</v>
      </c>
      <c r="K57" s="419">
        <f>ROUNDUP('HSZ do groszy'!K57,0)</f>
        <v>0</v>
      </c>
      <c r="L57" s="420">
        <f>ROUNDUP('HSZ do groszy'!L57,0)</f>
        <v>0</v>
      </c>
      <c r="M57" s="416">
        <f>ROUNDUP('HSZ do groszy'!M57,0)</f>
        <v>0</v>
      </c>
      <c r="N57" s="417">
        <f>ROUNDUP('HSZ do groszy'!N57,0)</f>
        <v>0</v>
      </c>
      <c r="O57" s="419">
        <f>ROUNDUP('HSZ do groszy'!O57,0)</f>
        <v>0</v>
      </c>
      <c r="P57" s="420">
        <f>ROUNDUP('HSZ do groszy'!P57,0)</f>
        <v>0</v>
      </c>
      <c r="Q57" s="416">
        <f>ROUNDUP('HSZ do groszy'!Q57,0)</f>
        <v>0</v>
      </c>
      <c r="R57" s="417">
        <f>ROUNDUP('HSZ do groszy'!R57,0)</f>
        <v>0</v>
      </c>
      <c r="S57" s="419">
        <f>ROUNDUP('HSZ do groszy'!S57,0)</f>
        <v>0</v>
      </c>
      <c r="T57" s="420">
        <f>ROUNDUP('HSZ do groszy'!T57,0)</f>
        <v>0</v>
      </c>
      <c r="U57" s="416">
        <f>ROUNDUP('HSZ do groszy'!U57,0)</f>
        <v>0</v>
      </c>
      <c r="V57" s="417">
        <f>ROUNDUP('HSZ do groszy'!V57,0)</f>
        <v>0</v>
      </c>
      <c r="W57" s="419">
        <f>ROUNDUP('HSZ do groszy'!W57,0)</f>
        <v>0</v>
      </c>
      <c r="X57" s="420">
        <f>ROUNDUP('HSZ do groszy'!X57,0)</f>
        <v>0</v>
      </c>
      <c r="Y57" s="416">
        <f>ROUNDUP('HSZ do groszy'!Y57,0)</f>
        <v>0</v>
      </c>
      <c r="Z57" s="417">
        <f>ROUNDUP('HSZ do groszy'!Z57,0)</f>
        <v>0</v>
      </c>
      <c r="AA57" s="419">
        <f>ROUNDUP('HSZ do groszy'!AA57,0)</f>
        <v>0</v>
      </c>
      <c r="AB57" s="420">
        <f>ROUNDUP('HSZ do groszy'!AB57,0)</f>
        <v>0</v>
      </c>
      <c r="AC57" s="416">
        <f>ROUNDUP('HSZ do groszy'!AC57,0)</f>
        <v>0</v>
      </c>
      <c r="AD57" s="417">
        <f>ROUNDUP('HSZ do groszy'!AD57,0)</f>
        <v>0</v>
      </c>
      <c r="AE57" s="419">
        <f>ROUNDUP('HSZ do groszy'!AE57,0)</f>
        <v>0</v>
      </c>
      <c r="AF57" s="417">
        <f>ROUNDUP('HSZ do groszy'!AF57,0)</f>
        <v>0</v>
      </c>
      <c r="AG57" s="419">
        <f>ROUNDUP('HSZ do groszy'!AG57,0)</f>
        <v>0</v>
      </c>
      <c r="AH57" s="421">
        <f>ROUNDUP('HSZ do groszy'!AH57,0)</f>
        <v>0</v>
      </c>
      <c r="AI57" s="419">
        <f>ROUNDUP('HSZ do groszy'!AI57,0)</f>
        <v>0</v>
      </c>
      <c r="AJ57" s="421">
        <f>ROUNDUP('HSZ do groszy'!AJ57,0)</f>
        <v>0</v>
      </c>
      <c r="AK57" s="419">
        <f>ROUNDUP('HSZ do groszy'!AK57,0)</f>
        <v>0</v>
      </c>
      <c r="AL57" s="421">
        <f>ROUNDUP('HSZ do groszy'!AL57,0)</f>
        <v>0</v>
      </c>
      <c r="AM57" s="419">
        <f>ROUNDUP('HSZ do groszy'!AM57,0)</f>
        <v>0</v>
      </c>
      <c r="AN57" s="421">
        <f>ROUNDUP('HSZ do groszy'!AN57,0)</f>
        <v>0</v>
      </c>
      <c r="AO57" s="419">
        <f>ROUNDUP('HSZ do groszy'!AO57,0)</f>
        <v>0</v>
      </c>
      <c r="AP57" s="421">
        <f>ROUNDUP('HSZ do groszy'!AP57,0)</f>
        <v>0</v>
      </c>
      <c r="AQ57" s="419">
        <f>ROUNDUP('HSZ do groszy'!AQ57,0)</f>
        <v>0</v>
      </c>
      <c r="AR57" s="421">
        <f>ROUNDUP('HSZ do groszy'!AR57,0)</f>
        <v>0</v>
      </c>
      <c r="AS57" s="192"/>
      <c r="AT57" s="192"/>
      <c r="AU57" s="422"/>
      <c r="AV57" s="423"/>
      <c r="AW57" s="424"/>
      <c r="AX57" s="425"/>
      <c r="AY57" s="417"/>
      <c r="AZ57" s="424"/>
      <c r="BA57" s="425"/>
      <c r="BB57" s="417"/>
      <c r="BC57" s="424"/>
      <c r="BD57" s="425"/>
      <c r="BE57" s="417"/>
      <c r="BF57" s="424"/>
      <c r="BG57" s="425"/>
      <c r="BH57" s="417"/>
      <c r="BI57" s="424"/>
      <c r="BJ57" s="425"/>
      <c r="BK57" s="417"/>
      <c r="BL57" s="424"/>
      <c r="BM57" s="425"/>
      <c r="BN57" s="417"/>
      <c r="BO57" s="424"/>
      <c r="BP57" s="425"/>
      <c r="BQ57" s="417"/>
      <c r="BR57" s="424"/>
      <c r="BS57" s="425"/>
      <c r="BT57" s="417"/>
      <c r="BU57" s="424"/>
      <c r="BV57" s="425"/>
      <c r="BW57" s="417"/>
      <c r="BX57" s="424"/>
      <c r="BY57" s="425"/>
      <c r="BZ57" s="417"/>
      <c r="CA57" s="424">
        <f t="shared" si="89"/>
        <v>0</v>
      </c>
      <c r="CB57" s="425">
        <f t="shared" si="90"/>
        <v>0</v>
      </c>
      <c r="CC57" s="417">
        <f t="shared" si="131"/>
        <v>0</v>
      </c>
      <c r="CD57" s="424">
        <f t="shared" si="92"/>
        <v>0</v>
      </c>
      <c r="CE57" s="425">
        <f t="shared" si="93"/>
        <v>0</v>
      </c>
      <c r="CF57" s="417">
        <f t="shared" si="132"/>
        <v>0</v>
      </c>
      <c r="CG57" s="424">
        <f t="shared" si="95"/>
        <v>0</v>
      </c>
      <c r="CH57" s="425">
        <f t="shared" si="96"/>
        <v>0</v>
      </c>
      <c r="CI57" s="417">
        <f t="shared" si="133"/>
        <v>0</v>
      </c>
      <c r="CJ57" s="424">
        <f t="shared" si="98"/>
        <v>0</v>
      </c>
      <c r="CK57" s="425">
        <f t="shared" si="99"/>
        <v>0</v>
      </c>
      <c r="CL57" s="417">
        <f t="shared" si="125"/>
        <v>0</v>
      </c>
      <c r="CM57" s="424">
        <f t="shared" si="101"/>
        <v>0</v>
      </c>
      <c r="CN57" s="425">
        <f t="shared" si="102"/>
        <v>0</v>
      </c>
      <c r="CO57" s="417">
        <f t="shared" si="126"/>
        <v>0</v>
      </c>
      <c r="CP57" s="424">
        <f t="shared" si="104"/>
        <v>0</v>
      </c>
      <c r="CQ57" s="425">
        <f t="shared" si="105"/>
        <v>0</v>
      </c>
      <c r="CR57" s="417">
        <f t="shared" si="127"/>
        <v>0</v>
      </c>
      <c r="CS57" s="424">
        <f t="shared" si="107"/>
        <v>0</v>
      </c>
      <c r="CT57" s="425">
        <f t="shared" si="108"/>
        <v>0</v>
      </c>
      <c r="CU57" s="417">
        <f t="shared" si="128"/>
        <v>0</v>
      </c>
      <c r="CV57" s="424">
        <f t="shared" si="110"/>
        <v>0</v>
      </c>
      <c r="CW57" s="425">
        <f t="shared" si="111"/>
        <v>0</v>
      </c>
      <c r="CX57" s="417">
        <f t="shared" si="129"/>
        <v>0</v>
      </c>
    </row>
    <row r="58" spans="1:102">
      <c r="A58" s="430"/>
      <c r="B58" s="429"/>
      <c r="C58" s="416"/>
      <c r="D58" s="420"/>
      <c r="E58" s="583"/>
      <c r="F58" s="582"/>
      <c r="G58" s="416"/>
      <c r="H58" s="417"/>
      <c r="I58" s="419"/>
      <c r="J58" s="417"/>
      <c r="K58" s="419"/>
      <c r="L58" s="417"/>
      <c r="M58" s="419"/>
      <c r="N58" s="417"/>
      <c r="O58" s="419"/>
      <c r="P58" s="417"/>
      <c r="Q58" s="419"/>
      <c r="R58" s="417"/>
      <c r="S58" s="419"/>
      <c r="T58" s="417"/>
      <c r="U58" s="419"/>
      <c r="V58" s="417"/>
      <c r="W58" s="419"/>
      <c r="X58" s="417"/>
      <c r="Y58" s="419"/>
      <c r="Z58" s="417"/>
      <c r="AA58" s="419"/>
      <c r="AB58" s="417"/>
      <c r="AC58" s="416"/>
      <c r="AD58" s="417"/>
      <c r="AE58" s="419"/>
      <c r="AF58" s="417"/>
      <c r="AG58" s="419"/>
      <c r="AH58" s="417"/>
      <c r="AI58" s="419"/>
      <c r="AJ58" s="417"/>
      <c r="AK58" s="419"/>
      <c r="AL58" s="417"/>
      <c r="AM58" s="419"/>
      <c r="AN58" s="417"/>
      <c r="AO58" s="419"/>
      <c r="AP58" s="417"/>
      <c r="AQ58" s="419"/>
      <c r="AR58" s="417"/>
      <c r="AS58" s="192"/>
      <c r="AT58" s="192"/>
      <c r="AU58" s="422"/>
      <c r="AV58" s="423"/>
      <c r="AW58" s="424"/>
      <c r="AX58" s="425"/>
      <c r="AY58" s="417"/>
      <c r="AZ58" s="424"/>
      <c r="BA58" s="425"/>
      <c r="BB58" s="417"/>
      <c r="BC58" s="424"/>
      <c r="BD58" s="425"/>
      <c r="BE58" s="417"/>
      <c r="BF58" s="424"/>
      <c r="BG58" s="425"/>
      <c r="BH58" s="417"/>
      <c r="BI58" s="424"/>
      <c r="BJ58" s="425"/>
      <c r="BK58" s="417"/>
      <c r="BL58" s="424"/>
      <c r="BM58" s="425"/>
      <c r="BN58" s="417"/>
      <c r="BO58" s="424"/>
      <c r="BP58" s="425"/>
      <c r="BQ58" s="417"/>
      <c r="BR58" s="424"/>
      <c r="BS58" s="425"/>
      <c r="BT58" s="417"/>
      <c r="BU58" s="424"/>
      <c r="BV58" s="425"/>
      <c r="BW58" s="417"/>
      <c r="BX58" s="424"/>
      <c r="BY58" s="425"/>
      <c r="BZ58" s="417"/>
      <c r="CA58" s="424"/>
      <c r="CB58" s="425"/>
      <c r="CC58" s="417"/>
      <c r="CD58" s="424"/>
      <c r="CE58" s="425"/>
      <c r="CF58" s="417"/>
      <c r="CG58" s="424"/>
      <c r="CH58" s="425"/>
      <c r="CI58" s="417"/>
      <c r="CJ58" s="424"/>
      <c r="CK58" s="425"/>
      <c r="CL58" s="417"/>
      <c r="CM58" s="424"/>
      <c r="CN58" s="425"/>
      <c r="CO58" s="417"/>
      <c r="CP58" s="424"/>
      <c r="CQ58" s="425"/>
      <c r="CR58" s="417"/>
      <c r="CS58" s="424"/>
      <c r="CT58" s="425"/>
      <c r="CU58" s="417"/>
      <c r="CV58" s="424"/>
      <c r="CW58" s="425"/>
      <c r="CX58" s="417"/>
    </row>
    <row r="59" spans="1:102" s="560" customFormat="1">
      <c r="A59" s="569" t="s">
        <v>324</v>
      </c>
      <c r="B59" s="570"/>
      <c r="C59" s="571"/>
      <c r="D59" s="575"/>
      <c r="E59" s="585"/>
      <c r="F59" s="584"/>
      <c r="G59" s="571">
        <f>SUM(G44:G57)</f>
        <v>0</v>
      </c>
      <c r="H59" s="572">
        <f t="shared" ref="H59" si="134">SUM(H44:H57)</f>
        <v>0</v>
      </c>
      <c r="I59" s="574">
        <f>SUM(I46:I57)</f>
        <v>0</v>
      </c>
      <c r="J59" s="574">
        <f t="shared" ref="J59:AH59" si="135">SUM(J46:J57)</f>
        <v>0</v>
      </c>
      <c r="K59" s="574">
        <f t="shared" si="135"/>
        <v>0</v>
      </c>
      <c r="L59" s="574">
        <f t="shared" si="135"/>
        <v>500000</v>
      </c>
      <c r="M59" s="574">
        <f t="shared" si="135"/>
        <v>0</v>
      </c>
      <c r="N59" s="574">
        <f t="shared" si="135"/>
        <v>1137819</v>
      </c>
      <c r="O59" s="574">
        <f t="shared" si="135"/>
        <v>0</v>
      </c>
      <c r="P59" s="574">
        <f t="shared" si="135"/>
        <v>1180169</v>
      </c>
      <c r="Q59" s="574">
        <f t="shared" si="135"/>
        <v>0</v>
      </c>
      <c r="R59" s="574">
        <f t="shared" si="135"/>
        <v>1180169</v>
      </c>
      <c r="S59" s="574">
        <f t="shared" si="135"/>
        <v>0</v>
      </c>
      <c r="T59" s="574">
        <f t="shared" si="135"/>
        <v>1180169</v>
      </c>
      <c r="U59" s="574">
        <f t="shared" si="135"/>
        <v>0</v>
      </c>
      <c r="V59" s="574">
        <f t="shared" si="135"/>
        <v>1180169</v>
      </c>
      <c r="W59" s="574">
        <f t="shared" si="135"/>
        <v>2300000</v>
      </c>
      <c r="X59" s="574">
        <f t="shared" si="135"/>
        <v>1171094</v>
      </c>
      <c r="Y59" s="574">
        <f t="shared" si="135"/>
        <v>4000000</v>
      </c>
      <c r="Z59" s="574">
        <f t="shared" si="135"/>
        <v>1055492</v>
      </c>
      <c r="AA59" s="574">
        <f t="shared" si="135"/>
        <v>6000000</v>
      </c>
      <c r="AB59" s="574">
        <f t="shared" si="135"/>
        <v>858220</v>
      </c>
      <c r="AC59" s="574">
        <f t="shared" si="135"/>
        <v>5000000</v>
      </c>
      <c r="AD59" s="574">
        <f t="shared" si="135"/>
        <v>566682</v>
      </c>
      <c r="AE59" s="574">
        <f t="shared" si="135"/>
        <v>3000000</v>
      </c>
      <c r="AF59" s="574">
        <f t="shared" si="135"/>
        <v>205501</v>
      </c>
      <c r="AG59" s="574">
        <f t="shared" si="135"/>
        <v>0</v>
      </c>
      <c r="AH59" s="574">
        <f t="shared" si="135"/>
        <v>0</v>
      </c>
      <c r="AI59" s="574">
        <f t="shared" ref="AI59:AR59" si="136">SUM(AI46:AI57)</f>
        <v>0</v>
      </c>
      <c r="AJ59" s="574">
        <f t="shared" si="136"/>
        <v>0</v>
      </c>
      <c r="AK59" s="574">
        <f t="shared" si="136"/>
        <v>0</v>
      </c>
      <c r="AL59" s="574">
        <f t="shared" si="136"/>
        <v>0</v>
      </c>
      <c r="AM59" s="574">
        <f t="shared" si="136"/>
        <v>0</v>
      </c>
      <c r="AN59" s="574">
        <f t="shared" si="136"/>
        <v>0</v>
      </c>
      <c r="AO59" s="574">
        <f t="shared" si="136"/>
        <v>0</v>
      </c>
      <c r="AP59" s="574">
        <f t="shared" si="136"/>
        <v>0</v>
      </c>
      <c r="AQ59" s="574">
        <f t="shared" si="136"/>
        <v>0</v>
      </c>
      <c r="AR59" s="574">
        <f t="shared" si="136"/>
        <v>0</v>
      </c>
      <c r="AS59" s="577"/>
      <c r="AT59" s="577"/>
      <c r="AU59" s="578"/>
      <c r="AV59" s="579"/>
      <c r="AW59" s="580"/>
      <c r="AX59" s="581"/>
      <c r="AY59" s="572"/>
      <c r="AZ59" s="580"/>
      <c r="BA59" s="581"/>
      <c r="BB59" s="572"/>
      <c r="BC59" s="580"/>
      <c r="BD59" s="581"/>
      <c r="BE59" s="572"/>
      <c r="BF59" s="580"/>
      <c r="BG59" s="581"/>
      <c r="BH59" s="572"/>
      <c r="BI59" s="580"/>
      <c r="BJ59" s="581"/>
      <c r="BK59" s="572"/>
      <c r="BL59" s="580"/>
      <c r="BM59" s="581"/>
      <c r="BN59" s="572"/>
      <c r="BO59" s="580"/>
      <c r="BP59" s="581"/>
      <c r="BQ59" s="572"/>
      <c r="BR59" s="580"/>
      <c r="BS59" s="581"/>
      <c r="BT59" s="572"/>
      <c r="BU59" s="580"/>
      <c r="BV59" s="581"/>
      <c r="BW59" s="572"/>
      <c r="BX59" s="580"/>
      <c r="BY59" s="581"/>
      <c r="BZ59" s="572"/>
      <c r="CA59" s="580"/>
      <c r="CB59" s="581"/>
      <c r="CC59" s="572"/>
      <c r="CD59" s="580"/>
      <c r="CE59" s="581"/>
      <c r="CF59" s="572"/>
      <c r="CG59" s="580"/>
      <c r="CH59" s="581"/>
      <c r="CI59" s="572"/>
      <c r="CJ59" s="580"/>
      <c r="CK59" s="581"/>
      <c r="CL59" s="572"/>
      <c r="CM59" s="580"/>
      <c r="CN59" s="581"/>
      <c r="CO59" s="572"/>
      <c r="CP59" s="580"/>
      <c r="CQ59" s="581"/>
      <c r="CR59" s="572"/>
      <c r="CS59" s="580"/>
      <c r="CT59" s="581"/>
      <c r="CU59" s="572"/>
      <c r="CV59" s="580"/>
      <c r="CW59" s="581"/>
      <c r="CX59" s="572"/>
    </row>
    <row r="60" spans="1:102">
      <c r="A60" s="430"/>
      <c r="B60" s="429"/>
      <c r="C60" s="416"/>
      <c r="D60" s="420"/>
      <c r="E60" s="583"/>
      <c r="F60" s="582"/>
      <c r="G60" s="416"/>
      <c r="H60" s="417"/>
      <c r="I60" s="419"/>
      <c r="J60" s="417"/>
      <c r="K60" s="419"/>
      <c r="L60" s="417"/>
      <c r="M60" s="419"/>
      <c r="N60" s="417"/>
      <c r="O60" s="419"/>
      <c r="P60" s="417"/>
      <c r="Q60" s="419"/>
      <c r="R60" s="417"/>
      <c r="S60" s="419"/>
      <c r="T60" s="417"/>
      <c r="U60" s="419"/>
      <c r="V60" s="417"/>
      <c r="W60" s="419"/>
      <c r="X60" s="417"/>
      <c r="Y60" s="419"/>
      <c r="Z60" s="417"/>
      <c r="AA60" s="419"/>
      <c r="AB60" s="417"/>
      <c r="AC60" s="416"/>
      <c r="AD60" s="417"/>
      <c r="AE60" s="419"/>
      <c r="AF60" s="417"/>
      <c r="AG60" s="419"/>
      <c r="AH60" s="417"/>
      <c r="AI60" s="419"/>
      <c r="AJ60" s="417"/>
      <c r="AK60" s="419"/>
      <c r="AL60" s="417"/>
      <c r="AM60" s="419"/>
      <c r="AN60" s="417"/>
      <c r="AO60" s="419"/>
      <c r="AP60" s="417"/>
      <c r="AQ60" s="419"/>
      <c r="AR60" s="417"/>
      <c r="AS60" s="192"/>
      <c r="AT60" s="192"/>
      <c r="AU60" s="422"/>
      <c r="AV60" s="423"/>
      <c r="AW60" s="424"/>
      <c r="AX60" s="425"/>
      <c r="AY60" s="417"/>
      <c r="AZ60" s="424"/>
      <c r="BA60" s="425"/>
      <c r="BB60" s="417"/>
      <c r="BC60" s="424"/>
      <c r="BD60" s="425"/>
      <c r="BE60" s="417"/>
      <c r="BF60" s="424"/>
      <c r="BG60" s="425"/>
      <c r="BH60" s="417"/>
      <c r="BI60" s="424"/>
      <c r="BJ60" s="425"/>
      <c r="BK60" s="417"/>
      <c r="BL60" s="424"/>
      <c r="BM60" s="425"/>
      <c r="BN60" s="417"/>
      <c r="BO60" s="424"/>
      <c r="BP60" s="425"/>
      <c r="BQ60" s="417"/>
      <c r="BR60" s="424"/>
      <c r="BS60" s="425"/>
      <c r="BT60" s="417"/>
      <c r="BU60" s="424"/>
      <c r="BV60" s="425"/>
      <c r="BW60" s="417"/>
      <c r="BX60" s="424"/>
      <c r="BY60" s="425"/>
      <c r="BZ60" s="417"/>
      <c r="CA60" s="424"/>
      <c r="CB60" s="425"/>
      <c r="CC60" s="417"/>
      <c r="CD60" s="424"/>
      <c r="CE60" s="425"/>
      <c r="CF60" s="417"/>
      <c r="CG60" s="424"/>
      <c r="CH60" s="425"/>
      <c r="CI60" s="417"/>
      <c r="CJ60" s="424"/>
      <c r="CK60" s="425"/>
      <c r="CL60" s="417"/>
      <c r="CM60" s="424"/>
      <c r="CN60" s="425"/>
      <c r="CO60" s="417"/>
      <c r="CP60" s="424"/>
      <c r="CQ60" s="425"/>
      <c r="CR60" s="417"/>
      <c r="CS60" s="424"/>
      <c r="CT60" s="425"/>
      <c r="CU60" s="417"/>
      <c r="CV60" s="424"/>
      <c r="CW60" s="425"/>
      <c r="CX60" s="417"/>
    </row>
    <row r="61" spans="1:102" ht="13.5" thickBot="1">
      <c r="A61" s="431" t="s">
        <v>284</v>
      </c>
      <c r="B61" s="432">
        <f>SUM(B36:B38)</f>
        <v>23750000</v>
      </c>
      <c r="C61" s="433">
        <f t="shared" ref="C61:F61" si="137">SUM(C36:C54)</f>
        <v>3550000</v>
      </c>
      <c r="D61" s="434">
        <f t="shared" si="137"/>
        <v>1724436</v>
      </c>
      <c r="E61" s="433">
        <f t="shared" si="137"/>
        <v>72500000</v>
      </c>
      <c r="F61" s="434">
        <f t="shared" si="137"/>
        <v>23010291</v>
      </c>
      <c r="G61" s="433">
        <f>G42+G44+G59</f>
        <v>6300000</v>
      </c>
      <c r="H61" s="434">
        <f t="shared" ref="H61:AH61" si="138">H42+H44+H59</f>
        <v>2096896</v>
      </c>
      <c r="I61" s="433">
        <f t="shared" si="138"/>
        <v>9500000</v>
      </c>
      <c r="J61" s="434">
        <f t="shared" si="138"/>
        <v>2643819</v>
      </c>
      <c r="K61" s="433">
        <f t="shared" si="138"/>
        <v>3500000</v>
      </c>
      <c r="L61" s="434">
        <f t="shared" si="138"/>
        <v>2250000</v>
      </c>
      <c r="M61" s="363">
        <f t="shared" si="138"/>
        <v>3900000</v>
      </c>
      <c r="N61" s="365">
        <f t="shared" si="138"/>
        <v>2837819</v>
      </c>
      <c r="O61" s="433">
        <f t="shared" si="138"/>
        <v>6000000</v>
      </c>
      <c r="P61" s="434">
        <f t="shared" si="138"/>
        <v>2725030</v>
      </c>
      <c r="Q61" s="433">
        <f t="shared" si="138"/>
        <v>6000000</v>
      </c>
      <c r="R61" s="434">
        <f t="shared" si="138"/>
        <v>2467081</v>
      </c>
      <c r="S61" s="433">
        <f t="shared" si="138"/>
        <v>6000000</v>
      </c>
      <c r="T61" s="434">
        <f t="shared" si="138"/>
        <v>2111067</v>
      </c>
      <c r="U61" s="433">
        <f t="shared" si="138"/>
        <v>7000000</v>
      </c>
      <c r="V61" s="434">
        <f t="shared" si="138"/>
        <v>1787957</v>
      </c>
      <c r="W61" s="433">
        <f t="shared" si="138"/>
        <v>6300000</v>
      </c>
      <c r="X61" s="434">
        <f t="shared" si="138"/>
        <v>1404727</v>
      </c>
      <c r="Y61" s="433">
        <f t="shared" si="138"/>
        <v>4000000</v>
      </c>
      <c r="Z61" s="434">
        <f t="shared" si="138"/>
        <v>1055492</v>
      </c>
      <c r="AA61" s="433">
        <f t="shared" si="138"/>
        <v>6000000</v>
      </c>
      <c r="AB61" s="434">
        <f t="shared" si="138"/>
        <v>858220</v>
      </c>
      <c r="AC61" s="363">
        <f t="shared" si="138"/>
        <v>5000000</v>
      </c>
      <c r="AD61" s="365">
        <f t="shared" si="138"/>
        <v>566682</v>
      </c>
      <c r="AE61" s="433">
        <f t="shared" si="138"/>
        <v>3000000</v>
      </c>
      <c r="AF61" s="365">
        <f t="shared" si="138"/>
        <v>205501</v>
      </c>
      <c r="AG61" s="433">
        <f t="shared" si="138"/>
        <v>0</v>
      </c>
      <c r="AH61" s="435">
        <f t="shared" si="138"/>
        <v>0</v>
      </c>
      <c r="AI61" s="765">
        <f t="shared" ref="AI61:AR61" si="139">AI42+AI44+AI59</f>
        <v>0</v>
      </c>
      <c r="AJ61" s="435">
        <f t="shared" si="139"/>
        <v>0</v>
      </c>
      <c r="AK61" s="765">
        <f t="shared" si="139"/>
        <v>0</v>
      </c>
      <c r="AL61" s="435">
        <f t="shared" si="139"/>
        <v>0</v>
      </c>
      <c r="AM61" s="765">
        <f t="shared" si="139"/>
        <v>0</v>
      </c>
      <c r="AN61" s="435">
        <f t="shared" si="139"/>
        <v>0</v>
      </c>
      <c r="AO61" s="765">
        <f t="shared" si="139"/>
        <v>0</v>
      </c>
      <c r="AP61" s="435">
        <f t="shared" si="139"/>
        <v>0</v>
      </c>
      <c r="AQ61" s="765">
        <f t="shared" si="139"/>
        <v>0</v>
      </c>
      <c r="AR61" s="435">
        <f t="shared" si="139"/>
        <v>0</v>
      </c>
      <c r="AS61" s="192"/>
      <c r="AT61" s="192"/>
      <c r="AU61" s="361"/>
      <c r="AV61" s="390">
        <f>SUM(AV36:AV38)</f>
        <v>23750000</v>
      </c>
      <c r="AW61" s="363">
        <f>SUM(AW36:AW57)</f>
        <v>45900000</v>
      </c>
      <c r="AX61" s="364">
        <f t="shared" ref="AX61:CI61" si="140">SUM(AX36:AX57)</f>
        <v>10697911</v>
      </c>
      <c r="AY61" s="391">
        <f t="shared" si="140"/>
        <v>56597911</v>
      </c>
      <c r="AZ61" s="363">
        <f t="shared" si="140"/>
        <v>47700000</v>
      </c>
      <c r="BA61" s="364">
        <f t="shared" si="140"/>
        <v>12482057</v>
      </c>
      <c r="BB61" s="391">
        <f t="shared" si="140"/>
        <v>60182057</v>
      </c>
      <c r="BC61" s="363">
        <f t="shared" si="140"/>
        <v>52200000</v>
      </c>
      <c r="BD61" s="364">
        <f t="shared" si="140"/>
        <v>15786792</v>
      </c>
      <c r="BE61" s="391">
        <f t="shared" si="140"/>
        <v>67986792</v>
      </c>
      <c r="BF61" s="363">
        <f t="shared" si="140"/>
        <v>49300000</v>
      </c>
      <c r="BG61" s="364">
        <f t="shared" si="140"/>
        <v>13181757</v>
      </c>
      <c r="BH61" s="391">
        <f t="shared" si="140"/>
        <v>62481757</v>
      </c>
      <c r="BI61" s="363">
        <f t="shared" si="140"/>
        <v>43300000</v>
      </c>
      <c r="BJ61" s="364">
        <f t="shared" si="140"/>
        <v>10456727</v>
      </c>
      <c r="BK61" s="391">
        <f t="shared" si="140"/>
        <v>53756727</v>
      </c>
      <c r="BL61" s="363">
        <f t="shared" si="140"/>
        <v>37300000</v>
      </c>
      <c r="BM61" s="364">
        <f t="shared" si="140"/>
        <v>7989646</v>
      </c>
      <c r="BN61" s="391">
        <f t="shared" si="140"/>
        <v>45289646</v>
      </c>
      <c r="BO61" s="363">
        <f t="shared" si="140"/>
        <v>31300000</v>
      </c>
      <c r="BP61" s="364">
        <f t="shared" si="140"/>
        <v>5878579</v>
      </c>
      <c r="BQ61" s="391">
        <f t="shared" si="140"/>
        <v>37178579</v>
      </c>
      <c r="BR61" s="363">
        <f t="shared" si="140"/>
        <v>24300000</v>
      </c>
      <c r="BS61" s="364">
        <f t="shared" si="140"/>
        <v>4090622</v>
      </c>
      <c r="BT61" s="391">
        <f t="shared" si="140"/>
        <v>28390622</v>
      </c>
      <c r="BU61" s="363">
        <f t="shared" si="140"/>
        <v>18000000</v>
      </c>
      <c r="BV61" s="364">
        <f t="shared" si="140"/>
        <v>2685895</v>
      </c>
      <c r="BW61" s="391">
        <f t="shared" si="140"/>
        <v>20685895</v>
      </c>
      <c r="BX61" s="363">
        <f t="shared" si="140"/>
        <v>14000000</v>
      </c>
      <c r="BY61" s="364">
        <f t="shared" si="140"/>
        <v>1630403</v>
      </c>
      <c r="BZ61" s="391">
        <f t="shared" si="140"/>
        <v>15630403</v>
      </c>
      <c r="CA61" s="363">
        <f t="shared" si="140"/>
        <v>8000000</v>
      </c>
      <c r="CB61" s="364">
        <f t="shared" si="140"/>
        <v>772183</v>
      </c>
      <c r="CC61" s="391">
        <f t="shared" si="140"/>
        <v>8772183</v>
      </c>
      <c r="CD61" s="363">
        <f t="shared" si="140"/>
        <v>3000000</v>
      </c>
      <c r="CE61" s="364">
        <f t="shared" si="140"/>
        <v>205501</v>
      </c>
      <c r="CF61" s="391">
        <f t="shared" si="140"/>
        <v>3205501</v>
      </c>
      <c r="CG61" s="363">
        <f t="shared" si="140"/>
        <v>0</v>
      </c>
      <c r="CH61" s="364">
        <f t="shared" si="140"/>
        <v>0</v>
      </c>
      <c r="CI61" s="391">
        <f t="shared" si="140"/>
        <v>0</v>
      </c>
      <c r="CJ61" s="766">
        <f t="shared" ref="CJ61:CL61" si="141">SUM(CJ36:CJ57)</f>
        <v>0</v>
      </c>
      <c r="CK61" s="364">
        <f t="shared" si="141"/>
        <v>0</v>
      </c>
      <c r="CL61" s="391">
        <f t="shared" si="141"/>
        <v>0</v>
      </c>
      <c r="CM61" s="766">
        <f t="shared" ref="CM61:CX61" si="142">SUM(CM36:CM57)</f>
        <v>0</v>
      </c>
      <c r="CN61" s="364">
        <f t="shared" si="142"/>
        <v>0</v>
      </c>
      <c r="CO61" s="391">
        <f t="shared" si="142"/>
        <v>0</v>
      </c>
      <c r="CP61" s="766">
        <f t="shared" si="142"/>
        <v>0</v>
      </c>
      <c r="CQ61" s="364">
        <f t="shared" si="142"/>
        <v>0</v>
      </c>
      <c r="CR61" s="391">
        <f t="shared" si="142"/>
        <v>0</v>
      </c>
      <c r="CS61" s="766">
        <f t="shared" si="142"/>
        <v>0</v>
      </c>
      <c r="CT61" s="364">
        <f t="shared" si="142"/>
        <v>0</v>
      </c>
      <c r="CU61" s="391">
        <f t="shared" si="142"/>
        <v>0</v>
      </c>
      <c r="CV61" s="766">
        <f t="shared" si="142"/>
        <v>0</v>
      </c>
      <c r="CW61" s="364">
        <f t="shared" si="142"/>
        <v>0</v>
      </c>
      <c r="CX61" s="391">
        <f t="shared" si="142"/>
        <v>0</v>
      </c>
    </row>
    <row r="62" spans="1:102" ht="14.25" thickBot="1">
      <c r="A62" s="436"/>
      <c r="B62" s="437" t="s">
        <v>263</v>
      </c>
      <c r="C62" s="1711">
        <f>SUM(C61,D61)</f>
        <v>5274436</v>
      </c>
      <c r="D62" s="1712"/>
      <c r="E62" s="1711">
        <f>SUM(E61,F61)</f>
        <v>95510291</v>
      </c>
      <c r="F62" s="1712"/>
      <c r="G62" s="1711">
        <f>SUM(G61,H61)</f>
        <v>8396896</v>
      </c>
      <c r="H62" s="1712"/>
      <c r="I62" s="1711">
        <f>SUM(I61,J61)</f>
        <v>12143819</v>
      </c>
      <c r="J62" s="1712"/>
      <c r="K62" s="1713">
        <f>SUM(K61,L61)</f>
        <v>5750000</v>
      </c>
      <c r="L62" s="1714"/>
      <c r="M62" s="1711">
        <f>SUM(M61,N61)</f>
        <v>6737819</v>
      </c>
      <c r="N62" s="1712"/>
      <c r="O62" s="1713">
        <f>SUM(O61,P61)</f>
        <v>8725030</v>
      </c>
      <c r="P62" s="1714"/>
      <c r="Q62" s="1711">
        <f>SUM(Q61,R61)</f>
        <v>8467081</v>
      </c>
      <c r="R62" s="1712"/>
      <c r="S62" s="1713">
        <f>SUM(S61,T61)</f>
        <v>8111067</v>
      </c>
      <c r="T62" s="1714"/>
      <c r="U62" s="1711">
        <f>SUM(U61,V61)</f>
        <v>8787957</v>
      </c>
      <c r="V62" s="1712"/>
      <c r="W62" s="1713">
        <f>SUM(W61,X61)</f>
        <v>7704727</v>
      </c>
      <c r="X62" s="1714"/>
      <c r="Y62" s="1711">
        <f>SUM(Y61,Z61)</f>
        <v>5055492</v>
      </c>
      <c r="Z62" s="1712"/>
      <c r="AA62" s="1713">
        <f>SUM(AA61,AB61)</f>
        <v>6858220</v>
      </c>
      <c r="AB62" s="1714"/>
      <c r="AC62" s="1711">
        <f>SUM(AC61,AD61)</f>
        <v>5566682</v>
      </c>
      <c r="AD62" s="1712"/>
      <c r="AE62" s="1713">
        <f>SUM(AE61,AF61)</f>
        <v>3205501</v>
      </c>
      <c r="AF62" s="1712"/>
      <c r="AG62" s="1713">
        <f>SUM(AG61,AH61)</f>
        <v>0</v>
      </c>
      <c r="AH62" s="1715"/>
      <c r="AI62" s="1713">
        <f>SUM(AI61,AJ61)</f>
        <v>0</v>
      </c>
      <c r="AJ62" s="1715"/>
      <c r="AK62" s="1713">
        <f>SUM(AK61,AL61)</f>
        <v>0</v>
      </c>
      <c r="AL62" s="1715"/>
      <c r="AM62" s="1713">
        <f>SUM(AM61,AN61)</f>
        <v>0</v>
      </c>
      <c r="AN62" s="1715"/>
      <c r="AO62" s="1713">
        <f>SUM(AO61,AP61)</f>
        <v>0</v>
      </c>
      <c r="AP62" s="1715"/>
      <c r="AQ62" s="1713">
        <f>SUM(AQ61,AR61)</f>
        <v>0</v>
      </c>
      <c r="AR62" s="1715"/>
      <c r="AS62" s="192"/>
      <c r="AT62" s="192"/>
      <c r="AU62" s="438"/>
      <c r="AV62" s="438"/>
      <c r="AW62" s="1708"/>
      <c r="AX62" s="1709"/>
      <c r="AY62" s="1710"/>
      <c r="AZ62" s="1708"/>
      <c r="BA62" s="1709"/>
      <c r="BB62" s="1710"/>
      <c r="BC62" s="1708"/>
      <c r="BD62" s="1709"/>
      <c r="BE62" s="1710"/>
      <c r="BF62" s="1708"/>
      <c r="BG62" s="1709"/>
      <c r="BH62" s="1710"/>
      <c r="BI62" s="1708"/>
      <c r="BJ62" s="1709"/>
      <c r="BK62" s="1710"/>
      <c r="BL62" s="1708"/>
      <c r="BM62" s="1709"/>
      <c r="BN62" s="1710"/>
      <c r="BO62" s="1708"/>
      <c r="BP62" s="1709"/>
      <c r="BQ62" s="1710"/>
      <c r="BR62" s="1708"/>
      <c r="BS62" s="1709"/>
      <c r="BT62" s="1710"/>
      <c r="BU62" s="1708"/>
      <c r="BV62" s="1709"/>
      <c r="BW62" s="1710"/>
      <c r="BX62" s="1708"/>
      <c r="BY62" s="1709"/>
      <c r="BZ62" s="1710"/>
      <c r="CA62" s="1708"/>
      <c r="CB62" s="1709"/>
      <c r="CC62" s="1710"/>
      <c r="CD62" s="1708"/>
      <c r="CE62" s="1709"/>
      <c r="CF62" s="1710"/>
      <c r="CG62" s="1708"/>
      <c r="CH62" s="1709"/>
      <c r="CI62" s="1710"/>
      <c r="CJ62" s="1708"/>
      <c r="CK62" s="1709"/>
      <c r="CL62" s="1710"/>
      <c r="CM62" s="1708"/>
      <c r="CN62" s="1709"/>
      <c r="CO62" s="1710"/>
      <c r="CP62" s="1708"/>
      <c r="CQ62" s="1709"/>
      <c r="CR62" s="1710"/>
      <c r="CS62" s="1708"/>
      <c r="CT62" s="1709"/>
      <c r="CU62" s="1710"/>
      <c r="CV62" s="1708"/>
      <c r="CW62" s="1709"/>
      <c r="CX62" s="1710"/>
    </row>
    <row r="63" spans="1:102" ht="13.5" thickBot="1">
      <c r="A63" s="1702" t="s">
        <v>285</v>
      </c>
      <c r="B63" s="1703"/>
      <c r="C63" s="439">
        <f t="shared" ref="C63:AR63" si="143">SUM(C11,C31,C61)</f>
        <v>4220898</v>
      </c>
      <c r="D63" s="440">
        <f t="shared" si="143"/>
        <v>1839251</v>
      </c>
      <c r="E63" s="439">
        <f t="shared" si="143"/>
        <v>84551589</v>
      </c>
      <c r="F63" s="440">
        <f t="shared" si="143"/>
        <v>26720848</v>
      </c>
      <c r="G63" s="439">
        <f t="shared" si="143"/>
        <v>6998867</v>
      </c>
      <c r="H63" s="440">
        <f t="shared" si="143"/>
        <v>2173467</v>
      </c>
      <c r="I63" s="439">
        <f t="shared" si="143"/>
        <v>10160865</v>
      </c>
      <c r="J63" s="440">
        <f t="shared" si="143"/>
        <v>2980913</v>
      </c>
      <c r="K63" s="441">
        <f t="shared" si="143"/>
        <v>4101396</v>
      </c>
      <c r="L63" s="440">
        <f t="shared" si="143"/>
        <v>2845891</v>
      </c>
      <c r="M63" s="439">
        <f t="shared" si="143"/>
        <v>5237994</v>
      </c>
      <c r="N63" s="440">
        <f t="shared" si="143"/>
        <v>3487713</v>
      </c>
      <c r="O63" s="441">
        <f t="shared" si="143"/>
        <v>7868277</v>
      </c>
      <c r="P63" s="440">
        <f t="shared" si="143"/>
        <v>3333397</v>
      </c>
      <c r="Q63" s="439">
        <f t="shared" si="143"/>
        <v>7838964</v>
      </c>
      <c r="R63" s="440">
        <f t="shared" si="143"/>
        <v>3014427</v>
      </c>
      <c r="S63" s="441">
        <f t="shared" si="143"/>
        <v>7787969</v>
      </c>
      <c r="T63" s="440">
        <f t="shared" si="143"/>
        <v>2599044</v>
      </c>
      <c r="U63" s="439">
        <f t="shared" si="143"/>
        <v>8691151</v>
      </c>
      <c r="V63" s="440">
        <f t="shared" si="143"/>
        <v>2218254</v>
      </c>
      <c r="W63" s="441">
        <f t="shared" si="143"/>
        <v>7970808</v>
      </c>
      <c r="X63" s="440">
        <f t="shared" si="143"/>
        <v>1780027</v>
      </c>
      <c r="Y63" s="439">
        <f t="shared" si="143"/>
        <v>5670808</v>
      </c>
      <c r="Z63" s="440">
        <f t="shared" si="143"/>
        <v>1375046</v>
      </c>
      <c r="AA63" s="441">
        <f t="shared" si="143"/>
        <v>7670808</v>
      </c>
      <c r="AB63" s="440">
        <f t="shared" si="143"/>
        <v>1122527</v>
      </c>
      <c r="AC63" s="439">
        <f t="shared" si="143"/>
        <v>6670808</v>
      </c>
      <c r="AD63" s="440">
        <f t="shared" si="143"/>
        <v>776043</v>
      </c>
      <c r="AE63" s="441">
        <f t="shared" si="143"/>
        <v>4670808</v>
      </c>
      <c r="AF63" s="440">
        <f t="shared" si="143"/>
        <v>359415</v>
      </c>
      <c r="AG63" s="441">
        <f t="shared" si="143"/>
        <v>1670808</v>
      </c>
      <c r="AH63" s="442">
        <f t="shared" si="143"/>
        <v>98668</v>
      </c>
      <c r="AI63" s="441">
        <f t="shared" si="143"/>
        <v>1176632</v>
      </c>
      <c r="AJ63" s="442">
        <f t="shared" si="143"/>
        <v>45700</v>
      </c>
      <c r="AK63" s="441">
        <f t="shared" si="143"/>
        <v>1164632</v>
      </c>
      <c r="AL63" s="442">
        <f t="shared" si="143"/>
        <v>24920</v>
      </c>
      <c r="AM63" s="441">
        <f t="shared" si="143"/>
        <v>0</v>
      </c>
      <c r="AN63" s="442">
        <f t="shared" si="143"/>
        <v>0</v>
      </c>
      <c r="AO63" s="441">
        <f t="shared" si="143"/>
        <v>0</v>
      </c>
      <c r="AP63" s="442">
        <f t="shared" si="143"/>
        <v>0</v>
      </c>
      <c r="AQ63" s="441">
        <f t="shared" si="143"/>
        <v>0</v>
      </c>
      <c r="AR63" s="442">
        <f t="shared" si="143"/>
        <v>0</v>
      </c>
      <c r="AS63" s="192"/>
      <c r="AT63" s="192"/>
      <c r="AU63" s="1704" t="s">
        <v>286</v>
      </c>
      <c r="AV63" s="1705"/>
      <c r="AW63" s="443">
        <f>SUM(AW11,AW31,AW61)-2</f>
        <v>48110959</v>
      </c>
      <c r="AX63" s="444">
        <f>SUM(AX11,AX31,AX61)</f>
        <v>10838702</v>
      </c>
      <c r="AY63" s="445">
        <f>SUM(AW63,AX63)</f>
        <v>58949661</v>
      </c>
      <c r="AZ63" s="443">
        <f>SUM(AZ11,AZ31,AZ61)</f>
        <v>58932096</v>
      </c>
      <c r="BA63" s="444">
        <f>SUM(BA11,BA31,BA61)</f>
        <v>15795449</v>
      </c>
      <c r="BB63" s="445">
        <f>SUM(AZ63,BA63)</f>
        <v>74727545</v>
      </c>
      <c r="BC63" s="443">
        <f>SUM(BC11,BC31,BC61)</f>
        <v>73090465</v>
      </c>
      <c r="BD63" s="444">
        <f>SUM(BD61,BD31,BD11)</f>
        <v>20213532</v>
      </c>
      <c r="BE63" s="445">
        <f>SUM(BC63,BD63)</f>
        <v>93303997</v>
      </c>
      <c r="BF63" s="443">
        <f>SUM(BF11,BF31,BF61)</f>
        <v>68852471</v>
      </c>
      <c r="BG63" s="444">
        <f>SUM(BG11,BG31,BG61)</f>
        <v>16843348</v>
      </c>
      <c r="BH63" s="445">
        <f>SUM(BF63,BG63)</f>
        <v>85695819</v>
      </c>
      <c r="BI63" s="443">
        <f>SUM(BI11,BI31,BI61)</f>
        <v>60984194</v>
      </c>
      <c r="BJ63" s="444">
        <f>SUM(BJ11,BJ31,BJ61)</f>
        <v>13497451</v>
      </c>
      <c r="BK63" s="445">
        <f>SUM(BI63,BJ63)</f>
        <v>74481645</v>
      </c>
      <c r="BL63" s="443">
        <f>SUM(BL11,BL31,BL61)</f>
        <v>53145230</v>
      </c>
      <c r="BM63" s="444">
        <f>SUM(BM11,BM31,BM61)</f>
        <v>10470024</v>
      </c>
      <c r="BN63" s="445">
        <f>SUM(BL63,BM63)</f>
        <v>63615254</v>
      </c>
      <c r="BO63" s="443">
        <f>SUM(BO11,BO31,BO61)</f>
        <v>45357261</v>
      </c>
      <c r="BP63" s="444">
        <f>SUM(BP11,BP31,BP61)</f>
        <v>7858480</v>
      </c>
      <c r="BQ63" s="445">
        <f>SUM(BO63,BP63)</f>
        <v>53215741</v>
      </c>
      <c r="BR63" s="443">
        <f>SUM(BR11,BR31,BR61)</f>
        <v>36666112</v>
      </c>
      <c r="BS63" s="444">
        <f>SUM(BS11,BS31,BS61)</f>
        <v>5627226</v>
      </c>
      <c r="BT63" s="445">
        <f>SUM(BR63,BS63)</f>
        <v>42293338</v>
      </c>
      <c r="BU63" s="443">
        <f>SUM(BU11,BU31,BU61)</f>
        <v>28695304</v>
      </c>
      <c r="BV63" s="444">
        <f>SUM(BV11,BV31,BV61)</f>
        <v>3834699</v>
      </c>
      <c r="BW63" s="445">
        <f>SUM(BU63,BV63)</f>
        <v>32530003</v>
      </c>
      <c r="BX63" s="443">
        <f>SUM(BX11,BX31,BX61)</f>
        <v>23024496</v>
      </c>
      <c r="BY63" s="444">
        <f>SUM(BY11,BY31,BY61)</f>
        <v>2446453</v>
      </c>
      <c r="BZ63" s="445">
        <f>SUM(BX63,BY63)</f>
        <v>25470949</v>
      </c>
      <c r="CA63" s="443">
        <f>SUM(CA11,CA31,CA61)</f>
        <v>15353688</v>
      </c>
      <c r="CB63" s="444">
        <f>SUM(CB11,CB31,CB61)</f>
        <v>1311126</v>
      </c>
      <c r="CC63" s="445">
        <f>SUM(CA63,CB63)</f>
        <v>16664814</v>
      </c>
      <c r="CD63" s="443">
        <f>SUM(CD11,CD31,CD61)</f>
        <v>8682880</v>
      </c>
      <c r="CE63" s="444">
        <f>SUM(CE11,CE31,CE61)</f>
        <v>522583</v>
      </c>
      <c r="CF63" s="445">
        <f>SUM(CD63,CE63)</f>
        <v>9205463</v>
      </c>
      <c r="CG63" s="443">
        <f>SUM(CG11,CG31,CG61)</f>
        <v>4012072</v>
      </c>
      <c r="CH63" s="444">
        <f>SUM(CH11,CH31,CH61)</f>
        <v>150168</v>
      </c>
      <c r="CI63" s="445">
        <f>SUM(CG63,CH63)</f>
        <v>4162240</v>
      </c>
      <c r="CJ63" s="443">
        <f>SUM(CJ11,CJ31,CJ61)</f>
        <v>2341264</v>
      </c>
      <c r="CK63" s="444">
        <f>SUM(CK11,CK31,CK61)</f>
        <v>87700</v>
      </c>
      <c r="CL63" s="445">
        <f>SUM(CJ63,CK63)</f>
        <v>2428964</v>
      </c>
      <c r="CM63" s="443">
        <f>SUM(CM11,CM31,CM61)</f>
        <v>1164632</v>
      </c>
      <c r="CN63" s="444">
        <f>SUM(CN11,CN31,CN61)</f>
        <v>62000</v>
      </c>
      <c r="CO63" s="445">
        <f>SUM(CM63,CN63)</f>
        <v>1226632</v>
      </c>
      <c r="CP63" s="443">
        <f>SUM(CP11,CP31,CP61)</f>
        <v>0</v>
      </c>
      <c r="CQ63" s="444">
        <f>SUM(CQ11,CQ31,CQ61)</f>
        <v>49000</v>
      </c>
      <c r="CR63" s="445">
        <f>SUM(CP63,CQ63)</f>
        <v>49000</v>
      </c>
      <c r="CS63" s="443">
        <f>SUM(CS11,CS31,CS61)</f>
        <v>0</v>
      </c>
      <c r="CT63" s="444">
        <f>SUM(CT11,CT31,CT61)</f>
        <v>49000</v>
      </c>
      <c r="CU63" s="445">
        <f>SUM(CS63,CT63)</f>
        <v>49000</v>
      </c>
      <c r="CV63" s="443">
        <f>SUM(CV11,CV31,CV61)</f>
        <v>0</v>
      </c>
      <c r="CW63" s="444">
        <f>SUM(CW11,CW31,CW61)</f>
        <v>49000</v>
      </c>
      <c r="CX63" s="445">
        <f>SUM(CV63,CW63)</f>
        <v>49000</v>
      </c>
    </row>
    <row r="64" spans="1:102" s="462" customFormat="1" ht="27.75" customHeight="1" thickBot="1">
      <c r="A64" s="1706" t="s">
        <v>287</v>
      </c>
      <c r="B64" s="1707"/>
      <c r="C64" s="446"/>
      <c r="D64" s="447">
        <f>SUM(C63,D63)</f>
        <v>6060149</v>
      </c>
      <c r="E64" s="448"/>
      <c r="F64" s="447">
        <f>SUM(E63,F63)</f>
        <v>111272437</v>
      </c>
      <c r="G64" s="449"/>
      <c r="H64" s="447">
        <f>SUM(G63,H63)</f>
        <v>9172334</v>
      </c>
      <c r="I64" s="449"/>
      <c r="J64" s="447">
        <f>SUM(I63,J63)</f>
        <v>13141778</v>
      </c>
      <c r="K64" s="450"/>
      <c r="L64" s="451">
        <f>SUM(K63,L63)</f>
        <v>6947287</v>
      </c>
      <c r="M64" s="449"/>
      <c r="N64" s="447">
        <f>SUM(M63,N63)</f>
        <v>8725707</v>
      </c>
      <c r="O64" s="450"/>
      <c r="P64" s="451">
        <f>SUM(O63,P63)</f>
        <v>11201674</v>
      </c>
      <c r="Q64" s="449"/>
      <c r="R64" s="447">
        <f>SUM(Q63,R63)</f>
        <v>10853391</v>
      </c>
      <c r="S64" s="450"/>
      <c r="T64" s="451">
        <f>SUM(S63,T63)</f>
        <v>10387013</v>
      </c>
      <c r="U64" s="449"/>
      <c r="V64" s="447">
        <f>SUM(U63,V63)</f>
        <v>10909405</v>
      </c>
      <c r="W64" s="450"/>
      <c r="X64" s="451">
        <f>SUM(W63,X63)</f>
        <v>9750835</v>
      </c>
      <c r="Y64" s="448"/>
      <c r="Z64" s="447">
        <f>SUM(Y63,Z63)</f>
        <v>7045854</v>
      </c>
      <c r="AA64" s="452"/>
      <c r="AB64" s="451">
        <f>SUM(AA63,AB63)</f>
        <v>8793335</v>
      </c>
      <c r="AC64" s="448"/>
      <c r="AD64" s="447">
        <f>SUM(AC63,AD63)</f>
        <v>7446851</v>
      </c>
      <c r="AE64" s="452"/>
      <c r="AF64" s="447">
        <f>SUM(AE63,AF63)</f>
        <v>5030223</v>
      </c>
      <c r="AG64" s="452"/>
      <c r="AH64" s="453">
        <f>SUM(AG63,AH63)</f>
        <v>1769476</v>
      </c>
      <c r="AI64" s="452"/>
      <c r="AJ64" s="453">
        <f>SUM(AI63,AJ63)</f>
        <v>1222332</v>
      </c>
      <c r="AK64" s="452"/>
      <c r="AL64" s="453">
        <f>SUM(AK63,AL63)</f>
        <v>1189552</v>
      </c>
      <c r="AM64" s="452"/>
      <c r="AN64" s="453">
        <f>SUM(AM63,AN63)</f>
        <v>0</v>
      </c>
      <c r="AO64" s="452"/>
      <c r="AP64" s="453">
        <f>SUM(AO63,AP63)</f>
        <v>0</v>
      </c>
      <c r="AQ64" s="452"/>
      <c r="AR64" s="453">
        <f>SUM(AQ63,AR63)</f>
        <v>0</v>
      </c>
      <c r="AS64" s="454"/>
      <c r="AT64" s="454"/>
      <c r="AU64" s="455"/>
      <c r="AV64" s="455"/>
      <c r="AW64" s="456"/>
      <c r="AX64" s="456"/>
      <c r="AY64" s="457">
        <f>SUM(AY11,AY31,AY61)</f>
        <v>58949663</v>
      </c>
      <c r="AZ64" s="458"/>
      <c r="BA64" s="458"/>
      <c r="BB64" s="457">
        <f>SUM(BB11,BB31,BB61)</f>
        <v>63245524</v>
      </c>
      <c r="BC64" s="458"/>
      <c r="BD64" s="458"/>
      <c r="BE64" s="457">
        <f>SUM(BE11,BE31,BE61)</f>
        <v>93303997</v>
      </c>
      <c r="BF64" s="458"/>
      <c r="BG64" s="458"/>
      <c r="BH64" s="457">
        <f>SUM(BH11,BH31,BH61)</f>
        <v>85695819</v>
      </c>
      <c r="BI64" s="458"/>
      <c r="BJ64" s="458"/>
      <c r="BK64" s="457">
        <f>SUM(BK11,BK31,BK61)</f>
        <v>74481645</v>
      </c>
      <c r="BL64" s="459"/>
      <c r="BM64" s="458"/>
      <c r="BN64" s="457">
        <f>SUM(BN11,BN31,BN61)</f>
        <v>63615254</v>
      </c>
      <c r="BO64" s="460"/>
      <c r="BP64" s="460"/>
      <c r="BQ64" s="461">
        <f>SUM(BQ11,BQ31,BQ61)</f>
        <v>53215741</v>
      </c>
      <c r="BR64" s="460"/>
      <c r="BS64" s="460"/>
      <c r="BT64" s="461">
        <f>SUM(BT11,BT31,BT61)</f>
        <v>42293338</v>
      </c>
      <c r="BU64" s="460"/>
      <c r="BV64" s="460"/>
      <c r="BW64" s="461">
        <f>SUM(BW11,BW31,BW61)</f>
        <v>32530003</v>
      </c>
      <c r="BX64" s="460"/>
      <c r="BY64" s="460"/>
      <c r="BZ64" s="461">
        <f>SUM(BZ11,BZ31,BZ61)</f>
        <v>25470949</v>
      </c>
      <c r="CA64" s="460"/>
      <c r="CB64" s="460"/>
      <c r="CC64" s="461">
        <f>SUM(CC11,CC31,CC61)</f>
        <v>16664814</v>
      </c>
      <c r="CD64" s="460"/>
      <c r="CE64" s="460"/>
      <c r="CF64" s="461">
        <f>SUM(CF11,CF31,CF61)</f>
        <v>9205463</v>
      </c>
      <c r="CG64" s="460"/>
      <c r="CH64" s="460"/>
      <c r="CI64" s="461">
        <f>SUM(CI11,CI31,CI61)</f>
        <v>4162240</v>
      </c>
      <c r="CJ64" s="460"/>
      <c r="CK64" s="460"/>
      <c r="CL64" s="461">
        <f>SUM(CL11,CL31,CL61)</f>
        <v>2428964</v>
      </c>
      <c r="CM64" s="460"/>
      <c r="CN64" s="460"/>
      <c r="CO64" s="461">
        <f>SUM(CO11,CO31,CO61)</f>
        <v>1226632</v>
      </c>
      <c r="CP64" s="460"/>
      <c r="CQ64" s="460"/>
      <c r="CR64" s="461">
        <f>SUM(CR11,CR31,CR61)</f>
        <v>49000</v>
      </c>
      <c r="CS64" s="460"/>
      <c r="CT64" s="460"/>
      <c r="CU64" s="461">
        <f>SUM(CU11,CU31,CU61)</f>
        <v>49000</v>
      </c>
      <c r="CV64" s="460"/>
      <c r="CW64" s="460"/>
      <c r="CX64" s="461">
        <f>SUM(CX11,CX31,CX61)</f>
        <v>49000</v>
      </c>
    </row>
    <row r="65" spans="1:102" ht="13.5" thickTop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463"/>
      <c r="AV65" s="463"/>
      <c r="AW65" s="464"/>
      <c r="AX65" s="464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63"/>
      <c r="CR65" s="463"/>
      <c r="CS65" s="463"/>
      <c r="CT65" s="463"/>
      <c r="CU65" s="463"/>
      <c r="CV65" s="463"/>
      <c r="CW65" s="463"/>
      <c r="CX65" s="192"/>
    </row>
    <row r="66" spans="1:10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</row>
    <row r="67" spans="1:102" hidden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</row>
    <row r="68" spans="1:102" hidden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</row>
    <row r="69" spans="1:102"/>
    <row r="70" spans="1:102"/>
    <row r="71" spans="1:102"/>
    <row r="72" spans="1:102"/>
    <row r="73" spans="1:102"/>
    <row r="74" spans="1:102"/>
    <row r="75" spans="1:102"/>
    <row r="76" spans="1:102"/>
    <row r="77" spans="1:102"/>
    <row r="78" spans="1:102"/>
    <row r="79" spans="1:102"/>
    <row r="80" spans="1:10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 ht="12.75" customHeight="1"/>
    <row r="99" ht="12.75" customHeight="1"/>
  </sheetData>
  <sheetProtection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89">
    <mergeCell ref="CM4:CO4"/>
    <mergeCell ref="CM12:CO12"/>
    <mergeCell ref="CM34:CO34"/>
    <mergeCell ref="CM62:CO62"/>
    <mergeCell ref="CP4:CR4"/>
    <mergeCell ref="CP12:CR12"/>
    <mergeCell ref="CP34:CR34"/>
    <mergeCell ref="CP62:CR62"/>
    <mergeCell ref="CS4:CU4"/>
    <mergeCell ref="CS12:CU12"/>
    <mergeCell ref="CS34:CU34"/>
    <mergeCell ref="CS62:CU62"/>
    <mergeCell ref="AQ4:AR4"/>
    <mergeCell ref="AQ12:AR12"/>
    <mergeCell ref="AQ32:AR32"/>
    <mergeCell ref="AQ34:AR34"/>
    <mergeCell ref="AQ62:AR62"/>
    <mergeCell ref="CJ4:CL4"/>
    <mergeCell ref="CJ12:CL12"/>
    <mergeCell ref="CJ34:CL34"/>
    <mergeCell ref="CJ62:CL6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Z34:BB34"/>
    <mergeCell ref="AM4:AN4"/>
    <mergeCell ref="AM12:AN12"/>
    <mergeCell ref="AM32:AN32"/>
    <mergeCell ref="AM34:AN34"/>
    <mergeCell ref="AM62:AN62"/>
    <mergeCell ref="AO4:AP4"/>
    <mergeCell ref="AO12:AP12"/>
    <mergeCell ref="AO32:AP32"/>
    <mergeCell ref="AO34:AP34"/>
    <mergeCell ref="AO62:AP62"/>
    <mergeCell ref="AI4:AJ4"/>
    <mergeCell ref="AI12:AJ12"/>
    <mergeCell ref="AI32:AJ32"/>
    <mergeCell ref="AI34:AJ34"/>
    <mergeCell ref="AI62:AJ62"/>
    <mergeCell ref="AK4:AL4"/>
    <mergeCell ref="AK12:AL12"/>
    <mergeCell ref="AK32:AL32"/>
    <mergeCell ref="AK34:AL34"/>
    <mergeCell ref="AK62:AL62"/>
    <mergeCell ref="CV12:CX12"/>
    <mergeCell ref="CV34:CX34"/>
    <mergeCell ref="CV62:CX62"/>
    <mergeCell ref="CV4:CX4"/>
    <mergeCell ref="CV3:CX3"/>
    <mergeCell ref="K4:L4"/>
    <mergeCell ref="M4:N4"/>
    <mergeCell ref="O4:P4"/>
    <mergeCell ref="Q4:R4"/>
    <mergeCell ref="BR4:BT4"/>
    <mergeCell ref="AW4:AY4"/>
    <mergeCell ref="AZ4:BB4"/>
    <mergeCell ref="AU3:AU4"/>
    <mergeCell ref="AV3:AV4"/>
    <mergeCell ref="AW3:CI3"/>
    <mergeCell ref="BU4:BW4"/>
    <mergeCell ref="BX4:BZ4"/>
    <mergeCell ref="CA4:CC4"/>
    <mergeCell ref="CD4:CF4"/>
    <mergeCell ref="CG4:CI4"/>
    <mergeCell ref="BO4:BQ4"/>
    <mergeCell ref="BR12:BT12"/>
    <mergeCell ref="BU12:BW12"/>
    <mergeCell ref="BX12:BZ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AW12:AY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33:B33"/>
    <mergeCell ref="A34:B34"/>
    <mergeCell ref="C34:D34"/>
    <mergeCell ref="G34:H34"/>
    <mergeCell ref="I34:J34"/>
    <mergeCell ref="K34:L34"/>
    <mergeCell ref="O32:P32"/>
    <mergeCell ref="Q32:R32"/>
    <mergeCell ref="S32:T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U34:V34"/>
    <mergeCell ref="W34:X34"/>
    <mergeCell ref="Y34:Z34"/>
    <mergeCell ref="AA32:AB32"/>
    <mergeCell ref="AC32:AD32"/>
    <mergeCell ref="AE32:AF32"/>
    <mergeCell ref="AG32:AH32"/>
    <mergeCell ref="U32:V32"/>
    <mergeCell ref="W32:X32"/>
    <mergeCell ref="Y32:Z32"/>
    <mergeCell ref="S62:T62"/>
    <mergeCell ref="U62:V62"/>
    <mergeCell ref="W62:X62"/>
    <mergeCell ref="BU34:BW34"/>
    <mergeCell ref="BX34:BZ34"/>
    <mergeCell ref="CA34:CC34"/>
    <mergeCell ref="CD34:CF34"/>
    <mergeCell ref="CG34:CI34"/>
    <mergeCell ref="C62:D62"/>
    <mergeCell ref="E62:F62"/>
    <mergeCell ref="G62:H62"/>
    <mergeCell ref="I62:J62"/>
    <mergeCell ref="K62:L62"/>
    <mergeCell ref="BC34:BE34"/>
    <mergeCell ref="BF34:BH34"/>
    <mergeCell ref="BI34:BK34"/>
    <mergeCell ref="BL34:BN34"/>
    <mergeCell ref="BO34:BQ34"/>
    <mergeCell ref="BR34:BT34"/>
    <mergeCell ref="AA34:AB34"/>
    <mergeCell ref="AC34:AD34"/>
    <mergeCell ref="AE34:AF34"/>
    <mergeCell ref="AG34:AH34"/>
    <mergeCell ref="AW34:AY34"/>
    <mergeCell ref="A63:B63"/>
    <mergeCell ref="AU63:AV63"/>
    <mergeCell ref="A64:B64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Y62:Z62"/>
    <mergeCell ref="AA62:AB62"/>
    <mergeCell ref="AC62:AD62"/>
    <mergeCell ref="AE62:AF62"/>
    <mergeCell ref="AG62:AH62"/>
    <mergeCell ref="AW62:AY62"/>
    <mergeCell ref="M62:N62"/>
    <mergeCell ref="O62:P62"/>
    <mergeCell ref="Q62:R62"/>
  </mergeCells>
  <pageMargins left="0.43307086614173229" right="0.43307086614173229" top="0.9055118110236221" bottom="0.82677165354330717" header="0.51181102362204722" footer="0.51181102362204722"/>
  <pageSetup paperSize="8" scale="48" fitToWidth="5" orientation="landscape" r:id="rId2"/>
  <headerFooter alignWithMargins="0"/>
  <colBreaks count="2" manualBreakCount="2">
    <brk id="13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30</vt:i4>
      </vt:variant>
      <vt:variant>
        <vt:lpstr>Zakresy nazwane</vt:lpstr>
      </vt:variant>
      <vt:variant>
        <vt:i4>23</vt:i4>
      </vt:variant>
    </vt:vector>
  </HeadingPairs>
  <TitlesOfParts>
    <vt:vector size="53" baseType="lpstr">
      <vt:lpstr>Prognozowana kwota długu</vt:lpstr>
      <vt:lpstr>Planowane spłaty zobowiązań</vt:lpstr>
      <vt:lpstr>Przedsięwzięcia - bierzące</vt:lpstr>
      <vt:lpstr>poreczenia nieaktualne</vt:lpstr>
      <vt:lpstr>Harmonogram</vt:lpstr>
      <vt:lpstr>art.243</vt:lpstr>
      <vt:lpstr>WPF styczeń 2013</vt:lpstr>
      <vt:lpstr>HSZ do groszy</vt:lpstr>
      <vt:lpstr>HSZ do złotówek</vt:lpstr>
      <vt:lpstr>Przeds maj styczeń 2013</vt:lpstr>
      <vt:lpstr>Przeds bieżace  styczeń 2013 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pożyczka jessica</vt:lpstr>
      <vt:lpstr>kredyt jessica</vt:lpstr>
      <vt:lpstr>Arkusz1</vt:lpstr>
      <vt:lpstr>Arkusz2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'Planowane spłaty zobowiązań'!Obszar_wydruku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bieżace  styczeń 2013 '!Obszar_wydruku</vt:lpstr>
      <vt:lpstr>'Przeds maj styczeń 2013'!Obszar_wydruku</vt:lpstr>
      <vt:lpstr>'Przeds Poręczenia'!Obszar_wydruku</vt:lpstr>
      <vt:lpstr>'WPF styczeń 2013'!Obszar_wydruku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k.loboda</cp:lastModifiedBy>
  <cp:lastPrinted>2014-12-22T09:25:39Z</cp:lastPrinted>
  <dcterms:created xsi:type="dcterms:W3CDTF">2010-06-05T20:15:04Z</dcterms:created>
  <dcterms:modified xsi:type="dcterms:W3CDTF">2014-12-22T09:29:29Z</dcterms:modified>
</cp:coreProperties>
</file>